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xWindow="0" yWindow="255" windowWidth="11880" windowHeight="5955" activeTab="0"/>
  </bookViews>
  <sheets>
    <sheet name="Spielereingabe" sheetId="1" r:id="rId1"/>
    <sheet name="Auslosung_Turnierdaten" sheetId="2" r:id="rId2"/>
    <sheet name="SP16" sheetId="3" r:id="rId3"/>
    <sheet name="Baum16" sheetId="4" r:id="rId4"/>
    <sheet name="Paarung drucken" sheetId="5" r:id="rId5"/>
    <sheet name="Tabelle" sheetId="6" r:id="rId6"/>
    <sheet name="BAExport" sheetId="7" r:id="rId7"/>
    <sheet name="BAExport-8" sheetId="8" r:id="rId8"/>
  </sheets>
  <externalReferences>
    <externalReference r:id="rId11"/>
  </externalReferences>
  <definedNames>
    <definedName name="_xlnm.Print_Area" localSheetId="4">'Paarung drucken'!$A$2:$I$14</definedName>
    <definedName name="_xlnm.Print_Area" localSheetId="5">'Tabelle'!$A$5:$P$23</definedName>
    <definedName name="SP16">'SP16'!$C$3:$K$33</definedName>
    <definedName name="SP16_2">'SP16'!$C$3:$L$33</definedName>
    <definedName name="sp32">'[1]SP32'!$C$2:$L$65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M8" authorId="0">
      <text>
        <r>
          <rPr>
            <b/>
            <sz val="8"/>
            <rFont val="Tahoma"/>
            <family val="0"/>
          </rPr>
          <t>Tischnummern bzw. -bezeichnungen in Tabelle eintragen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0"/>
          </rPr>
          <t>Vereinsnummer siehe BBV-Jahrbuch</t>
        </r>
        <r>
          <rPr>
            <sz val="8"/>
            <rFont val="Tahoma"/>
            <family val="0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0"/>
          </rPr>
          <t>Mitgliedsnummer in BBV-Jahrbuch neben Ranglistennummer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Your User Name</author>
  </authors>
  <commentList>
    <comment ref="AQ2" authorId="0">
      <text>
        <r>
          <rPr>
            <b/>
            <sz val="8"/>
            <rFont val="Tahoma"/>
            <family val="0"/>
          </rPr>
          <t>Partie-Beginn mit Tastenkombination: [Strg][Shift][:] eingeben</t>
        </r>
      </text>
    </comment>
    <comment ref="AR2" authorId="0">
      <text>
        <r>
          <rPr>
            <b/>
            <sz val="8"/>
            <rFont val="Tahoma"/>
            <family val="0"/>
          </rPr>
          <t>Partie-Ende mit Tastenkombination: [Strg][Shift][:] eingeben</t>
        </r>
      </text>
    </comment>
  </commentList>
</comments>
</file>

<file path=xl/sharedStrings.xml><?xml version="1.0" encoding="utf-8"?>
<sst xmlns="http://schemas.openxmlformats.org/spreadsheetml/2006/main" count="305" uniqueCount="168">
  <si>
    <t>Bedienungsanleitung des Spielplans:</t>
  </si>
  <si>
    <t>Bei Meisterschaften BBV, Verein, Vereinsnummer und laufende NR des Teilnehmers eingeben</t>
  </si>
  <si>
    <t>Tabelle siehe Tabelle</t>
  </si>
  <si>
    <t>Name, Vorname</t>
  </si>
  <si>
    <t>Verein</t>
  </si>
  <si>
    <t>Vereinsnr.</t>
  </si>
  <si>
    <t>lauf. Nr.</t>
  </si>
  <si>
    <t>PZ</t>
  </si>
  <si>
    <t>Verein_Nr</t>
  </si>
  <si>
    <t>Lfd_Nr</t>
  </si>
  <si>
    <t>Punkte</t>
  </si>
  <si>
    <t>GP</t>
  </si>
  <si>
    <t>VP</t>
  </si>
  <si>
    <t>Tln1</t>
  </si>
  <si>
    <t>Tln2</t>
  </si>
  <si>
    <t>Sp2</t>
  </si>
  <si>
    <t>Auf1</t>
  </si>
  <si>
    <t>Auf2</t>
  </si>
  <si>
    <t>HS1</t>
  </si>
  <si>
    <t>HS2</t>
  </si>
  <si>
    <t>Ges</t>
  </si>
  <si>
    <t>A1g</t>
  </si>
  <si>
    <t>A2g</t>
  </si>
  <si>
    <t>A1+</t>
  </si>
  <si>
    <t>A2+</t>
  </si>
  <si>
    <t>P1</t>
  </si>
  <si>
    <t>P2</t>
  </si>
  <si>
    <t>Nr</t>
  </si>
  <si>
    <t>Name</t>
  </si>
  <si>
    <t>Pkt</t>
  </si>
  <si>
    <t>P</t>
  </si>
  <si>
    <t>Spg</t>
  </si>
  <si>
    <t>GSp</t>
  </si>
  <si>
    <t>VSp</t>
  </si>
  <si>
    <t>Quot</t>
  </si>
  <si>
    <t>Auf</t>
  </si>
  <si>
    <t>GD</t>
  </si>
  <si>
    <t>BED</t>
  </si>
  <si>
    <t>HS</t>
  </si>
  <si>
    <t>lfdNr</t>
  </si>
  <si>
    <t>HR</t>
  </si>
  <si>
    <t>VR1</t>
  </si>
  <si>
    <t>GR1</t>
  </si>
  <si>
    <t>VR2</t>
  </si>
  <si>
    <t>VR3</t>
  </si>
  <si>
    <t>VR4</t>
  </si>
  <si>
    <t>VR5</t>
  </si>
  <si>
    <t>VR6</t>
  </si>
  <si>
    <t>ER1</t>
  </si>
  <si>
    <t>ER2</t>
  </si>
  <si>
    <t>GR2</t>
  </si>
  <si>
    <t>GR3</t>
  </si>
  <si>
    <t>Tisch</t>
  </si>
  <si>
    <t>ausgeschieden:</t>
  </si>
  <si>
    <t>Sieger aus 29 muß</t>
  </si>
  <si>
    <t>2 x gewinnen</t>
  </si>
  <si>
    <t>Eingabe Ergebnisse in SP16</t>
  </si>
  <si>
    <t>Turnierbezeichnung:</t>
  </si>
  <si>
    <t>Termin:</t>
  </si>
  <si>
    <t>Ausrichtender Verein:</t>
  </si>
  <si>
    <t>Turnierleitung:</t>
  </si>
  <si>
    <t>Bsp: BM P2 8B Herren</t>
  </si>
  <si>
    <t>Turnierort:</t>
  </si>
  <si>
    <t>Verlierer nach 19</t>
  </si>
  <si>
    <t>Verlierer nach 20</t>
  </si>
  <si>
    <t>Verlierer nach 17</t>
  </si>
  <si>
    <t>Verlierer nach 18</t>
  </si>
  <si>
    <t>Verlierer nach 26</t>
  </si>
  <si>
    <t>Sieger nach 30</t>
  </si>
  <si>
    <t>auch 31 gewinnen</t>
  </si>
  <si>
    <t>Spiel 3 links</t>
  </si>
  <si>
    <t>Spiel 7 links</t>
  </si>
  <si>
    <t>Spiel 2 links</t>
  </si>
  <si>
    <t>Spiel 6 links</t>
  </si>
  <si>
    <t>Spiel 4 links</t>
  </si>
  <si>
    <t>Spiel 8 links</t>
  </si>
  <si>
    <t>Spiel 1 rechts</t>
  </si>
  <si>
    <t>Spiel 5 rechts</t>
  </si>
  <si>
    <t>Spiel 3 rechts</t>
  </si>
  <si>
    <t>Spiel 7 rechts</t>
  </si>
  <si>
    <t>Spiel 2 rechts</t>
  </si>
  <si>
    <t>Spiel 6 rechts</t>
  </si>
  <si>
    <t>Spiel 4 rechts</t>
  </si>
  <si>
    <t>Spiel 8 rechts</t>
  </si>
  <si>
    <t>Spiel-Nr:</t>
  </si>
  <si>
    <t>Tisch:</t>
  </si>
  <si>
    <t>:</t>
  </si>
  <si>
    <t>Spieler 1</t>
  </si>
  <si>
    <t>Spieler 2</t>
  </si>
  <si>
    <t>______</t>
  </si>
  <si>
    <t>Ergebnis bitte eintragen und bei der Turnierleitung abgeben</t>
  </si>
  <si>
    <t>für Druckoption der Lauf-</t>
  </si>
  <si>
    <t>zettel in Leiste rechts</t>
  </si>
  <si>
    <t>Partienummer drücken</t>
  </si>
  <si>
    <t>Spiel 1 links</t>
  </si>
  <si>
    <t>Spiel 5 links</t>
  </si>
  <si>
    <t>V=Pl. 4</t>
  </si>
  <si>
    <t>V=Pl. 5-6</t>
  </si>
  <si>
    <t>V=Pl. 7-8</t>
  </si>
  <si>
    <t>V=Pl. 9-12</t>
  </si>
  <si>
    <t>V=Pl. 13-16</t>
  </si>
  <si>
    <t>V=Pl. 3</t>
  </si>
  <si>
    <t>Gew. aus 29 muß</t>
  </si>
  <si>
    <t>Tischdefinition</t>
  </si>
  <si>
    <t>gesetzt</t>
  </si>
  <si>
    <t>Spieler von oben nach unten eingeben (Setzliste 1-4 möglich) - bei Turnierbeginn auf gültige Schaltfläche Auslosung "drücken" -</t>
  </si>
  <si>
    <t>Auslosung wird entsprechend des Makros mit/ohne gesetzte Spieler ausgeführt und Spielplan mit Freilosen aufgefüllt</t>
  </si>
  <si>
    <t>Sp1</t>
  </si>
  <si>
    <t>Tische müssen in Tischdefinition für Funktion</t>
  </si>
  <si>
    <t>"Freie Tische" in Blatt "SP*" bezeichnet werden</t>
  </si>
  <si>
    <t>Beginn:</t>
  </si>
  <si>
    <t>Tischanzahl:</t>
  </si>
  <si>
    <t>? Zeit pro Partie</t>
  </si>
  <si>
    <t>VR1/GR1</t>
  </si>
  <si>
    <t>GR2/VR3</t>
  </si>
  <si>
    <t>GR3/VR5</t>
  </si>
  <si>
    <t>E1</t>
  </si>
  <si>
    <t>E2</t>
  </si>
  <si>
    <t>Turnierende ?:</t>
  </si>
  <si>
    <t>P-Ende</t>
  </si>
  <si>
    <t>P-Beginn</t>
  </si>
  <si>
    <t>Dauer</t>
  </si>
  <si>
    <t>Freilos</t>
  </si>
  <si>
    <t>Spiele gesamt max</t>
  </si>
  <si>
    <t>BED-Hilfsberechnung</t>
  </si>
  <si>
    <t xml:space="preserve">  Vorsicht doppelte Eingabe</t>
  </si>
  <si>
    <t>Verlierer nach 25</t>
  </si>
  <si>
    <t>Verlierer nach 29</t>
  </si>
  <si>
    <t xml:space="preserve">  Doppelte Tischeingabe !</t>
  </si>
  <si>
    <t>Finale</t>
  </si>
  <si>
    <t>Oliver</t>
  </si>
  <si>
    <t>Florian</t>
  </si>
  <si>
    <t>Vorname</t>
  </si>
  <si>
    <t>Nachname</t>
  </si>
  <si>
    <t>Einloggen - "Spielbetrieb Verband" - "Ergebnisse Turnier" - Meisterschaft auswählen - "Spielergebnisse bearbeiten" -</t>
  </si>
  <si>
    <t>Julian</t>
  </si>
  <si>
    <t>Kurz</t>
  </si>
  <si>
    <t>Christoph</t>
  </si>
  <si>
    <t>Wiedenmann</t>
  </si>
  <si>
    <t>Luhn</t>
  </si>
  <si>
    <t>Guddat</t>
  </si>
  <si>
    <t>Luis</t>
  </si>
  <si>
    <t>Swidersky</t>
  </si>
  <si>
    <t>Daniel</t>
  </si>
  <si>
    <t>Koslitz</t>
  </si>
  <si>
    <t>Markus</t>
  </si>
  <si>
    <t>Döbler</t>
  </si>
  <si>
    <t>Thomas</t>
  </si>
  <si>
    <t>Engel</t>
  </si>
  <si>
    <t>Spielernummer</t>
  </si>
  <si>
    <t>Teilnehmerliste dann kopieren und in markierten Bereich einfügen - wenn notwendig Verein ergänzen</t>
  </si>
  <si>
    <t>PBSC Donauwörth</t>
  </si>
  <si>
    <t>1.PBC Königsbrunn</t>
  </si>
  <si>
    <t>BSV Forum</t>
  </si>
  <si>
    <t>BSC Martinsried</t>
  </si>
  <si>
    <t>1.PBC Kempten</t>
  </si>
  <si>
    <t>1.PBC Memmingen</t>
  </si>
  <si>
    <t>Julian Kurz</t>
  </si>
  <si>
    <t>Daniel Koslitz</t>
  </si>
  <si>
    <t>Luis Swidersky</t>
  </si>
  <si>
    <t>Markus Döbler</t>
  </si>
  <si>
    <t>Christoph Wiedenmann</t>
  </si>
  <si>
    <t>Thomas Engel</t>
  </si>
  <si>
    <t>Florian Guddat</t>
  </si>
  <si>
    <t>Oliver Luhn</t>
  </si>
  <si>
    <t/>
  </si>
  <si>
    <t>Schaltfläche "Spieler in Spielplan übernehmen" anwählen</t>
  </si>
  <si>
    <t>letzte Änderung 18.09.2009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</si>
</sst>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"/>
    <numFmt numFmtId="174" formatCode="0.000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d/m/yy\ h:mm"/>
    <numFmt numFmtId="182" formatCode="h:mm"/>
    <numFmt numFmtId="183" formatCode="h:mm:ss"/>
    <numFmt numFmtId="184" formatCode="#,##0.00\ [$€-1]"/>
    <numFmt numFmtId="185" formatCode="h:mm:ss;@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</numFmts>
  <fonts count="66">
    <font>
      <sz val="10"/>
      <name val="Arial"/>
      <family val="0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17"/>
      <name val="Arial"/>
      <family val="2"/>
    </font>
    <font>
      <sz val="24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7.5"/>
      <name val="Arial"/>
      <family val="2"/>
    </font>
    <font>
      <sz val="7.5"/>
      <color indexed="10"/>
      <name val="Arial"/>
      <family val="2"/>
    </font>
    <font>
      <b/>
      <sz val="7.5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Wingdings"/>
      <family val="0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7.5"/>
      <color indexed="9"/>
      <name val="Arial"/>
      <family val="2"/>
    </font>
    <font>
      <b/>
      <sz val="9"/>
      <color indexed="28"/>
      <name val="Verdana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33" borderId="10" xfId="0" applyFont="1" applyFill="1" applyBorder="1" applyAlignment="1" applyProtection="1">
      <alignment/>
      <protection hidden="1"/>
    </xf>
    <xf numFmtId="0" fontId="1" fillId="33" borderId="11" xfId="0" applyFont="1" applyFill="1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2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2" fontId="0" fillId="0" borderId="14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1" fontId="0" fillId="34" borderId="18" xfId="0" applyNumberFormat="1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1" fontId="0" fillId="0" borderId="13" xfId="0" applyNumberFormat="1" applyBorder="1" applyAlignment="1" applyProtection="1">
      <alignment/>
      <protection locked="0"/>
    </xf>
    <xf numFmtId="1" fontId="0" fillId="0" borderId="14" xfId="0" applyNumberFormat="1" applyBorder="1" applyAlignment="1" applyProtection="1">
      <alignment/>
      <protection locked="0"/>
    </xf>
    <xf numFmtId="1" fontId="0" fillId="0" borderId="15" xfId="0" applyNumberFormat="1" applyBorder="1" applyAlignment="1" applyProtection="1">
      <alignment/>
      <protection locked="0"/>
    </xf>
    <xf numFmtId="1" fontId="0" fillId="0" borderId="21" xfId="0" applyNumberFormat="1" applyBorder="1" applyAlignment="1" applyProtection="1">
      <alignment/>
      <protection locked="0"/>
    </xf>
    <xf numFmtId="1" fontId="0" fillId="0" borderId="22" xfId="0" applyNumberFormat="1" applyBorder="1" applyAlignment="1" applyProtection="1">
      <alignment/>
      <protection locked="0"/>
    </xf>
    <xf numFmtId="1" fontId="0" fillId="0" borderId="23" xfId="0" applyNumberForma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24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" fillId="33" borderId="14" xfId="0" applyFont="1" applyFill="1" applyBorder="1" applyAlignment="1" applyProtection="1">
      <alignment/>
      <protection hidden="1"/>
    </xf>
    <xf numFmtId="0" fontId="1" fillId="33" borderId="25" xfId="0" applyFont="1" applyFill="1" applyBorder="1" applyAlignment="1" applyProtection="1">
      <alignment/>
      <protection hidden="1"/>
    </xf>
    <xf numFmtId="0" fontId="1" fillId="0" borderId="25" xfId="0" applyFont="1" applyFill="1" applyBorder="1" applyAlignment="1" applyProtection="1">
      <alignment/>
      <protection hidden="1"/>
    </xf>
    <xf numFmtId="0" fontId="1" fillId="0" borderId="14" xfId="0" applyFont="1" applyFill="1" applyBorder="1" applyAlignment="1" applyProtection="1">
      <alignment/>
      <protection hidden="1"/>
    </xf>
    <xf numFmtId="0" fontId="0" fillId="0" borderId="0" xfId="0" applyAlignment="1" applyProtection="1">
      <alignment textRotation="90"/>
      <protection hidden="1"/>
    </xf>
    <xf numFmtId="0" fontId="0" fillId="35" borderId="16" xfId="0" applyFill="1" applyBorder="1" applyAlignment="1" applyProtection="1">
      <alignment/>
      <protection hidden="1"/>
    </xf>
    <xf numFmtId="0" fontId="0" fillId="36" borderId="16" xfId="0" applyFill="1" applyBorder="1" applyAlignment="1" applyProtection="1">
      <alignment horizontal="center"/>
      <protection hidden="1"/>
    </xf>
    <xf numFmtId="0" fontId="0" fillId="34" borderId="16" xfId="0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3" fillId="37" borderId="16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38" borderId="16" xfId="0" applyFont="1" applyFill="1" applyBorder="1" applyAlignment="1" applyProtection="1">
      <alignment/>
      <protection hidden="1"/>
    </xf>
    <xf numFmtId="0" fontId="15" fillId="38" borderId="26" xfId="0" applyFont="1" applyFill="1" applyBorder="1" applyAlignment="1" applyProtection="1">
      <alignment/>
      <protection hidden="1"/>
    </xf>
    <xf numFmtId="0" fontId="15" fillId="38" borderId="27" xfId="0" applyFont="1" applyFill="1" applyBorder="1" applyAlignment="1" applyProtection="1">
      <alignment/>
      <protection hidden="1"/>
    </xf>
    <xf numFmtId="0" fontId="15" fillId="39" borderId="16" xfId="0" applyFont="1" applyFill="1" applyBorder="1" applyAlignment="1" applyProtection="1">
      <alignment/>
      <protection hidden="1"/>
    </xf>
    <xf numFmtId="0" fontId="15" fillId="38" borderId="28" xfId="0" applyFont="1" applyFill="1" applyBorder="1" applyAlignment="1" applyProtection="1">
      <alignment/>
      <protection hidden="1"/>
    </xf>
    <xf numFmtId="0" fontId="15" fillId="39" borderId="12" xfId="0" applyNumberFormat="1" applyFont="1" applyFill="1" applyBorder="1" applyAlignment="1" applyProtection="1">
      <alignment/>
      <protection hidden="1"/>
    </xf>
    <xf numFmtId="0" fontId="15" fillId="39" borderId="29" xfId="0" applyNumberFormat="1" applyFont="1" applyFill="1" applyBorder="1" applyAlignment="1" applyProtection="1">
      <alignment/>
      <protection hidden="1"/>
    </xf>
    <xf numFmtId="0" fontId="15" fillId="39" borderId="12" xfId="0" applyFont="1" applyFill="1" applyBorder="1" applyAlignment="1" applyProtection="1">
      <alignment horizontal="center"/>
      <protection locked="0"/>
    </xf>
    <xf numFmtId="0" fontId="15" fillId="39" borderId="21" xfId="0" applyFont="1" applyFill="1" applyBorder="1" applyAlignment="1" applyProtection="1">
      <alignment horizontal="center"/>
      <protection locked="0"/>
    </xf>
    <xf numFmtId="0" fontId="15" fillId="39" borderId="30" xfId="0" applyFont="1" applyFill="1" applyBorder="1" applyAlignment="1" applyProtection="1">
      <alignment horizontal="center"/>
      <protection locked="0"/>
    </xf>
    <xf numFmtId="0" fontId="15" fillId="39" borderId="29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/>
      <protection hidden="1"/>
    </xf>
    <xf numFmtId="0" fontId="15" fillId="38" borderId="31" xfId="0" applyFont="1" applyFill="1" applyBorder="1" applyAlignment="1" applyProtection="1">
      <alignment/>
      <protection hidden="1"/>
    </xf>
    <xf numFmtId="0" fontId="15" fillId="39" borderId="10" xfId="0" applyNumberFormat="1" applyFont="1" applyFill="1" applyBorder="1" applyAlignment="1" applyProtection="1">
      <alignment/>
      <protection hidden="1"/>
    </xf>
    <xf numFmtId="0" fontId="15" fillId="39" borderId="32" xfId="0" applyNumberFormat="1" applyFont="1" applyFill="1" applyBorder="1" applyAlignment="1" applyProtection="1">
      <alignment/>
      <protection hidden="1"/>
    </xf>
    <xf numFmtId="0" fontId="15" fillId="39" borderId="10" xfId="0" applyFont="1" applyFill="1" applyBorder="1" applyAlignment="1" applyProtection="1">
      <alignment horizontal="center"/>
      <protection locked="0"/>
    </xf>
    <xf numFmtId="0" fontId="15" fillId="39" borderId="22" xfId="0" applyFont="1" applyFill="1" applyBorder="1" applyAlignment="1" applyProtection="1">
      <alignment horizontal="center"/>
      <protection locked="0"/>
    </xf>
    <xf numFmtId="0" fontId="15" fillId="39" borderId="33" xfId="0" applyFont="1" applyFill="1" applyBorder="1" applyAlignment="1" applyProtection="1">
      <alignment horizontal="center"/>
      <protection locked="0"/>
    </xf>
    <xf numFmtId="0" fontId="15" fillId="39" borderId="32" xfId="0" applyFont="1" applyFill="1" applyBorder="1" applyAlignment="1" applyProtection="1">
      <alignment horizontal="center"/>
      <protection locked="0"/>
    </xf>
    <xf numFmtId="0" fontId="15" fillId="40" borderId="34" xfId="0" applyFont="1" applyFill="1" applyBorder="1" applyAlignment="1" applyProtection="1">
      <alignment horizontal="left"/>
      <protection hidden="1"/>
    </xf>
    <xf numFmtId="0" fontId="15" fillId="40" borderId="35" xfId="0" applyFont="1" applyFill="1" applyBorder="1" applyAlignment="1" applyProtection="1">
      <alignment horizontal="left"/>
      <protection hidden="1"/>
    </xf>
    <xf numFmtId="0" fontId="15" fillId="38" borderId="36" xfId="0" applyFont="1" applyFill="1" applyBorder="1" applyAlignment="1" applyProtection="1">
      <alignment/>
      <protection hidden="1"/>
    </xf>
    <xf numFmtId="0" fontId="15" fillId="39" borderId="11" xfId="0" applyNumberFormat="1" applyFont="1" applyFill="1" applyBorder="1" applyAlignment="1" applyProtection="1">
      <alignment/>
      <protection hidden="1"/>
    </xf>
    <xf numFmtId="0" fontId="15" fillId="39" borderId="37" xfId="0" applyNumberFormat="1" applyFont="1" applyFill="1" applyBorder="1" applyAlignment="1" applyProtection="1">
      <alignment/>
      <protection hidden="1"/>
    </xf>
    <xf numFmtId="0" fontId="15" fillId="39" borderId="38" xfId="0" applyFont="1" applyFill="1" applyBorder="1" applyAlignment="1" applyProtection="1">
      <alignment horizontal="center"/>
      <protection locked="0"/>
    </xf>
    <xf numFmtId="0" fontId="15" fillId="39" borderId="23" xfId="0" applyFont="1" applyFill="1" applyBorder="1" applyAlignment="1" applyProtection="1">
      <alignment horizontal="center"/>
      <protection locked="0"/>
    </xf>
    <xf numFmtId="0" fontId="15" fillId="39" borderId="11" xfId="0" applyFont="1" applyFill="1" applyBorder="1" applyAlignment="1" applyProtection="1">
      <alignment horizontal="center"/>
      <protection locked="0"/>
    </xf>
    <xf numFmtId="0" fontId="15" fillId="39" borderId="37" xfId="0" applyFont="1" applyFill="1" applyBorder="1" applyAlignment="1" applyProtection="1">
      <alignment horizontal="center"/>
      <protection locked="0"/>
    </xf>
    <xf numFmtId="0" fontId="15" fillId="38" borderId="12" xfId="0" applyNumberFormat="1" applyFont="1" applyFill="1" applyBorder="1" applyAlignment="1" applyProtection="1">
      <alignment/>
      <protection hidden="1"/>
    </xf>
    <xf numFmtId="0" fontId="15" fillId="38" borderId="29" xfId="0" applyNumberFormat="1" applyFont="1" applyFill="1" applyBorder="1" applyAlignment="1" applyProtection="1">
      <alignment/>
      <protection hidden="1"/>
    </xf>
    <xf numFmtId="0" fontId="15" fillId="38" borderId="12" xfId="0" applyFont="1" applyFill="1" applyBorder="1" applyAlignment="1" applyProtection="1">
      <alignment horizontal="center"/>
      <protection locked="0"/>
    </xf>
    <xf numFmtId="0" fontId="15" fillId="38" borderId="21" xfId="0" applyFont="1" applyFill="1" applyBorder="1" applyAlignment="1" applyProtection="1">
      <alignment horizontal="center"/>
      <protection locked="0"/>
    </xf>
    <xf numFmtId="0" fontId="15" fillId="38" borderId="30" xfId="0" applyFont="1" applyFill="1" applyBorder="1" applyAlignment="1" applyProtection="1">
      <alignment horizontal="center"/>
      <protection locked="0"/>
    </xf>
    <xf numFmtId="0" fontId="15" fillId="38" borderId="29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hidden="1"/>
    </xf>
    <xf numFmtId="0" fontId="15" fillId="38" borderId="10" xfId="0" applyNumberFormat="1" applyFont="1" applyFill="1" applyBorder="1" applyAlignment="1" applyProtection="1">
      <alignment/>
      <protection hidden="1"/>
    </xf>
    <xf numFmtId="0" fontId="15" fillId="38" borderId="32" xfId="0" applyNumberFormat="1" applyFont="1" applyFill="1" applyBorder="1" applyAlignment="1" applyProtection="1">
      <alignment/>
      <protection hidden="1"/>
    </xf>
    <xf numFmtId="0" fontId="15" fillId="38" borderId="10" xfId="0" applyFont="1" applyFill="1" applyBorder="1" applyAlignment="1" applyProtection="1">
      <alignment horizontal="center"/>
      <protection locked="0"/>
    </xf>
    <xf numFmtId="0" fontId="15" fillId="38" borderId="22" xfId="0" applyFont="1" applyFill="1" applyBorder="1" applyAlignment="1" applyProtection="1">
      <alignment horizontal="center"/>
      <protection locked="0"/>
    </xf>
    <xf numFmtId="0" fontId="15" fillId="38" borderId="33" xfId="0" applyFont="1" applyFill="1" applyBorder="1" applyAlignment="1" applyProtection="1">
      <alignment horizontal="center"/>
      <protection locked="0"/>
    </xf>
    <xf numFmtId="0" fontId="15" fillId="38" borderId="32" xfId="0" applyFont="1" applyFill="1" applyBorder="1" applyAlignment="1" applyProtection="1">
      <alignment horizontal="center"/>
      <protection locked="0"/>
    </xf>
    <xf numFmtId="0" fontId="15" fillId="38" borderId="11" xfId="0" applyNumberFormat="1" applyFont="1" applyFill="1" applyBorder="1" applyAlignment="1" applyProtection="1">
      <alignment/>
      <protection hidden="1"/>
    </xf>
    <xf numFmtId="0" fontId="15" fillId="38" borderId="37" xfId="0" applyNumberFormat="1" applyFont="1" applyFill="1" applyBorder="1" applyAlignment="1" applyProtection="1">
      <alignment/>
      <protection hidden="1"/>
    </xf>
    <xf numFmtId="0" fontId="15" fillId="38" borderId="38" xfId="0" applyFont="1" applyFill="1" applyBorder="1" applyAlignment="1" applyProtection="1">
      <alignment horizontal="center"/>
      <protection locked="0"/>
    </xf>
    <xf numFmtId="0" fontId="15" fillId="38" borderId="23" xfId="0" applyFont="1" applyFill="1" applyBorder="1" applyAlignment="1" applyProtection="1">
      <alignment horizontal="center"/>
      <protection locked="0"/>
    </xf>
    <xf numFmtId="0" fontId="15" fillId="38" borderId="11" xfId="0" applyFont="1" applyFill="1" applyBorder="1" applyAlignment="1" applyProtection="1">
      <alignment horizontal="center"/>
      <protection locked="0"/>
    </xf>
    <xf numFmtId="0" fontId="15" fillId="38" borderId="37" xfId="0" applyFont="1" applyFill="1" applyBorder="1" applyAlignment="1" applyProtection="1">
      <alignment horizontal="center"/>
      <protection locked="0"/>
    </xf>
    <xf numFmtId="0" fontId="15" fillId="34" borderId="32" xfId="0" applyFont="1" applyFill="1" applyBorder="1" applyAlignment="1" applyProtection="1">
      <alignment/>
      <protection hidden="1"/>
    </xf>
    <xf numFmtId="0" fontId="15" fillId="34" borderId="39" xfId="0" applyFont="1" applyFill="1" applyBorder="1" applyAlignment="1" applyProtection="1">
      <alignment/>
      <protection hidden="1"/>
    </xf>
    <xf numFmtId="0" fontId="15" fillId="34" borderId="40" xfId="0" applyFont="1" applyFill="1" applyBorder="1" applyAlignment="1" applyProtection="1">
      <alignment/>
      <protection hidden="1"/>
    </xf>
    <xf numFmtId="1" fontId="15" fillId="34" borderId="40" xfId="0" applyNumberFormat="1" applyFont="1" applyFill="1" applyBorder="1" applyAlignment="1" applyProtection="1">
      <alignment/>
      <protection hidden="1"/>
    </xf>
    <xf numFmtId="0" fontId="15" fillId="34" borderId="41" xfId="0" applyFont="1" applyFill="1" applyBorder="1" applyAlignment="1" applyProtection="1">
      <alignment/>
      <protection hidden="1"/>
    </xf>
    <xf numFmtId="0" fontId="15" fillId="34" borderId="34" xfId="0" applyFont="1" applyFill="1" applyBorder="1" applyAlignment="1" applyProtection="1">
      <alignment/>
      <protection hidden="1"/>
    </xf>
    <xf numFmtId="0" fontId="15" fillId="0" borderId="32" xfId="0" applyFont="1" applyBorder="1" applyAlignment="1" applyProtection="1">
      <alignment/>
      <protection hidden="1"/>
    </xf>
    <xf numFmtId="0" fontId="15" fillId="0" borderId="12" xfId="0" applyFont="1" applyBorder="1" applyAlignment="1" applyProtection="1">
      <alignment/>
      <protection hidden="1"/>
    </xf>
    <xf numFmtId="0" fontId="15" fillId="0" borderId="13" xfId="0" applyFont="1" applyBorder="1" applyAlignment="1" applyProtection="1">
      <alignment/>
      <protection hidden="1"/>
    </xf>
    <xf numFmtId="1" fontId="15" fillId="0" borderId="13" xfId="0" applyNumberFormat="1" applyFont="1" applyBorder="1" applyAlignment="1" applyProtection="1">
      <alignment/>
      <protection hidden="1"/>
    </xf>
    <xf numFmtId="2" fontId="15" fillId="0" borderId="13" xfId="0" applyNumberFormat="1" applyFont="1" applyBorder="1" applyAlignment="1" applyProtection="1">
      <alignment/>
      <protection hidden="1"/>
    </xf>
    <xf numFmtId="0" fontId="15" fillId="0" borderId="10" xfId="0" applyFont="1" applyBorder="1" applyAlignment="1" applyProtection="1">
      <alignment/>
      <protection hidden="1"/>
    </xf>
    <xf numFmtId="0" fontId="15" fillId="0" borderId="14" xfId="0" applyFont="1" applyBorder="1" applyAlignment="1" applyProtection="1">
      <alignment/>
      <protection hidden="1"/>
    </xf>
    <xf numFmtId="1" fontId="15" fillId="0" borderId="14" xfId="0" applyNumberFormat="1" applyFont="1" applyBorder="1" applyAlignment="1" applyProtection="1">
      <alignment/>
      <protection hidden="1"/>
    </xf>
    <xf numFmtId="2" fontId="15" fillId="0" borderId="14" xfId="0" applyNumberFormat="1" applyFont="1" applyBorder="1" applyAlignment="1" applyProtection="1">
      <alignment/>
      <protection hidden="1"/>
    </xf>
    <xf numFmtId="0" fontId="15" fillId="0" borderId="22" xfId="0" applyFont="1" applyBorder="1" applyAlignment="1" applyProtection="1">
      <alignment/>
      <protection hidden="1"/>
    </xf>
    <xf numFmtId="0" fontId="15" fillId="38" borderId="26" xfId="0" applyNumberFormat="1" applyFont="1" applyFill="1" applyBorder="1" applyAlignment="1" applyProtection="1">
      <alignment/>
      <protection hidden="1"/>
    </xf>
    <xf numFmtId="0" fontId="15" fillId="38" borderId="27" xfId="0" applyNumberFormat="1" applyFont="1" applyFill="1" applyBorder="1" applyAlignment="1" applyProtection="1">
      <alignment/>
      <protection hidden="1"/>
    </xf>
    <xf numFmtId="0" fontId="15" fillId="38" borderId="17" xfId="0" applyFont="1" applyFill="1" applyBorder="1" applyAlignment="1" applyProtection="1">
      <alignment horizontal="center"/>
      <protection locked="0"/>
    </xf>
    <xf numFmtId="0" fontId="15" fillId="38" borderId="19" xfId="0" applyFont="1" applyFill="1" applyBorder="1" applyAlignment="1" applyProtection="1">
      <alignment horizontal="center"/>
      <protection locked="0"/>
    </xf>
    <xf numFmtId="0" fontId="15" fillId="38" borderId="26" xfId="0" applyFont="1" applyFill="1" applyBorder="1" applyAlignment="1" applyProtection="1">
      <alignment horizontal="center"/>
      <protection locked="0"/>
    </xf>
    <xf numFmtId="0" fontId="15" fillId="38" borderId="27" xfId="0" applyFont="1" applyFill="1" applyBorder="1" applyAlignment="1" applyProtection="1">
      <alignment horizontal="center"/>
      <protection locked="0"/>
    </xf>
    <xf numFmtId="0" fontId="15" fillId="39" borderId="26" xfId="0" applyNumberFormat="1" applyFont="1" applyFill="1" applyBorder="1" applyAlignment="1" applyProtection="1">
      <alignment/>
      <protection hidden="1"/>
    </xf>
    <xf numFmtId="0" fontId="15" fillId="39" borderId="27" xfId="0" applyNumberFormat="1" applyFont="1" applyFill="1" applyBorder="1" applyAlignment="1" applyProtection="1">
      <alignment/>
      <protection hidden="1"/>
    </xf>
    <xf numFmtId="0" fontId="15" fillId="39" borderId="17" xfId="0" applyFont="1" applyFill="1" applyBorder="1" applyAlignment="1" applyProtection="1">
      <alignment horizontal="center"/>
      <protection locked="0"/>
    </xf>
    <xf numFmtId="0" fontId="15" fillId="39" borderId="19" xfId="0" applyFont="1" applyFill="1" applyBorder="1" applyAlignment="1" applyProtection="1">
      <alignment horizontal="center"/>
      <protection locked="0"/>
    </xf>
    <xf numFmtId="0" fontId="15" fillId="39" borderId="26" xfId="0" applyFont="1" applyFill="1" applyBorder="1" applyAlignment="1" applyProtection="1">
      <alignment horizontal="center"/>
      <protection locked="0"/>
    </xf>
    <xf numFmtId="0" fontId="15" fillId="39" borderId="27" xfId="0" applyFont="1" applyFill="1" applyBorder="1" applyAlignment="1" applyProtection="1">
      <alignment horizontal="center"/>
      <protection locked="0"/>
    </xf>
    <xf numFmtId="0" fontId="15" fillId="39" borderId="42" xfId="0" applyFont="1" applyFill="1" applyBorder="1" applyAlignment="1" applyProtection="1">
      <alignment/>
      <protection hidden="1"/>
    </xf>
    <xf numFmtId="0" fontId="15" fillId="38" borderId="42" xfId="0" applyFont="1" applyFill="1" applyBorder="1" applyAlignment="1" applyProtection="1">
      <alignment/>
      <protection hidden="1"/>
    </xf>
    <xf numFmtId="0" fontId="15" fillId="39" borderId="43" xfId="0" applyNumberFormat="1" applyFont="1" applyFill="1" applyBorder="1" applyAlignment="1" applyProtection="1">
      <alignment/>
      <protection hidden="1"/>
    </xf>
    <xf numFmtId="0" fontId="15" fillId="39" borderId="44" xfId="0" applyNumberFormat="1" applyFont="1" applyFill="1" applyBorder="1" applyAlignment="1" applyProtection="1">
      <alignment/>
      <protection hidden="1"/>
    </xf>
    <xf numFmtId="0" fontId="15" fillId="39" borderId="43" xfId="0" applyFont="1" applyFill="1" applyBorder="1" applyAlignment="1" applyProtection="1">
      <alignment horizontal="center"/>
      <protection locked="0"/>
    </xf>
    <xf numFmtId="0" fontId="15" fillId="39" borderId="45" xfId="0" applyFont="1" applyFill="1" applyBorder="1" applyAlignment="1" applyProtection="1">
      <alignment horizontal="center"/>
      <protection locked="0"/>
    </xf>
    <xf numFmtId="0" fontId="15" fillId="39" borderId="46" xfId="0" applyFont="1" applyFill="1" applyBorder="1" applyAlignment="1" applyProtection="1">
      <alignment horizontal="center"/>
      <protection locked="0"/>
    </xf>
    <xf numFmtId="0" fontId="15" fillId="39" borderId="44" xfId="0" applyFont="1" applyFill="1" applyBorder="1" applyAlignment="1" applyProtection="1">
      <alignment horizontal="center"/>
      <protection locked="0"/>
    </xf>
    <xf numFmtId="0" fontId="15" fillId="0" borderId="0" xfId="0" applyNumberFormat="1" applyFont="1" applyAlignment="1" applyProtection="1">
      <alignment/>
      <protection hidden="1"/>
    </xf>
    <xf numFmtId="0" fontId="15" fillId="0" borderId="11" xfId="0" applyFont="1" applyBorder="1" applyAlignment="1" applyProtection="1">
      <alignment/>
      <protection hidden="1"/>
    </xf>
    <xf numFmtId="0" fontId="15" fillId="0" borderId="15" xfId="0" applyFont="1" applyBorder="1" applyAlignment="1" applyProtection="1">
      <alignment/>
      <protection hidden="1"/>
    </xf>
    <xf numFmtId="1" fontId="15" fillId="0" borderId="15" xfId="0" applyNumberFormat="1" applyFont="1" applyBorder="1" applyAlignment="1" applyProtection="1">
      <alignment/>
      <protection hidden="1"/>
    </xf>
    <xf numFmtId="2" fontId="15" fillId="0" borderId="15" xfId="0" applyNumberFormat="1" applyFont="1" applyBorder="1" applyAlignment="1" applyProtection="1">
      <alignment/>
      <protection hidden="1"/>
    </xf>
    <xf numFmtId="0" fontId="15" fillId="0" borderId="23" xfId="0" applyFont="1" applyBorder="1" applyAlignment="1" applyProtection="1">
      <alignment/>
      <protection hidden="1"/>
    </xf>
    <xf numFmtId="0" fontId="15" fillId="0" borderId="0" xfId="0" applyFont="1" applyFill="1" applyAlignment="1" applyProtection="1">
      <alignment horizontal="left"/>
      <protection hidden="1"/>
    </xf>
    <xf numFmtId="0" fontId="15" fillId="38" borderId="39" xfId="0" applyFont="1" applyFill="1" applyBorder="1" applyAlignment="1" applyProtection="1">
      <alignment horizontal="center"/>
      <protection hidden="1"/>
    </xf>
    <xf numFmtId="0" fontId="15" fillId="38" borderId="47" xfId="0" applyFont="1" applyFill="1" applyBorder="1" applyAlignment="1" applyProtection="1">
      <alignment horizontal="center"/>
      <protection hidden="1"/>
    </xf>
    <xf numFmtId="0" fontId="15" fillId="38" borderId="18" xfId="0" applyFont="1" applyFill="1" applyBorder="1" applyAlignment="1" applyProtection="1">
      <alignment horizontal="center"/>
      <protection hidden="1"/>
    </xf>
    <xf numFmtId="0" fontId="15" fillId="38" borderId="19" xfId="0" applyFont="1" applyFill="1" applyBorder="1" applyAlignment="1" applyProtection="1">
      <alignment horizontal="center"/>
      <protection hidden="1"/>
    </xf>
    <xf numFmtId="0" fontId="15" fillId="40" borderId="48" xfId="0" applyFont="1" applyFill="1" applyBorder="1" applyAlignment="1" applyProtection="1">
      <alignment/>
      <protection hidden="1"/>
    </xf>
    <xf numFmtId="0" fontId="15" fillId="41" borderId="0" xfId="0" applyFont="1" applyFill="1" applyAlignment="1" applyProtection="1">
      <alignment/>
      <protection hidden="1"/>
    </xf>
    <xf numFmtId="2" fontId="15" fillId="0" borderId="0" xfId="0" applyNumberFormat="1" applyFont="1" applyAlignment="1" applyProtection="1">
      <alignment/>
      <protection hidden="1"/>
    </xf>
    <xf numFmtId="0" fontId="15" fillId="40" borderId="49" xfId="0" applyFont="1" applyFill="1" applyBorder="1" applyAlignment="1" applyProtection="1">
      <alignment/>
      <protection hidden="1"/>
    </xf>
    <xf numFmtId="0" fontId="15" fillId="40" borderId="50" xfId="0" applyFont="1" applyFill="1" applyBorder="1" applyAlignment="1" applyProtection="1">
      <alignment horizontal="left"/>
      <protection hidden="1"/>
    </xf>
    <xf numFmtId="0" fontId="16" fillId="40" borderId="49" xfId="0" applyFont="1" applyFill="1" applyBorder="1" applyAlignment="1" applyProtection="1">
      <alignment horizontal="left"/>
      <protection hidden="1"/>
    </xf>
    <xf numFmtId="0" fontId="15" fillId="40" borderId="42" xfId="0" applyFont="1" applyFill="1" applyBorder="1" applyAlignment="1" applyProtection="1">
      <alignment/>
      <protection hidden="1"/>
    </xf>
    <xf numFmtId="0" fontId="1" fillId="0" borderId="14" xfId="0" applyFont="1" applyBorder="1" applyAlignment="1" applyProtection="1">
      <alignment horizontal="center"/>
      <protection hidden="1" locked="0"/>
    </xf>
    <xf numFmtId="0" fontId="1" fillId="33" borderId="14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7" fillId="40" borderId="16" xfId="0" applyFont="1" applyFill="1" applyBorder="1" applyAlignment="1" applyProtection="1">
      <alignment horizontal="left"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35" borderId="16" xfId="0" applyFill="1" applyBorder="1" applyAlignment="1" applyProtection="1">
      <alignment horizontal="center"/>
      <protection hidden="1"/>
    </xf>
    <xf numFmtId="0" fontId="0" fillId="34" borderId="16" xfId="0" applyFill="1" applyBorder="1" applyAlignment="1" applyProtection="1">
      <alignment horizontal="center"/>
      <protection hidden="1"/>
    </xf>
    <xf numFmtId="0" fontId="0" fillId="35" borderId="20" xfId="0" applyFill="1" applyBorder="1" applyAlignment="1" applyProtection="1">
      <alignment/>
      <protection hidden="1"/>
    </xf>
    <xf numFmtId="0" fontId="0" fillId="35" borderId="51" xfId="0" applyFill="1" applyBorder="1" applyAlignment="1" applyProtection="1">
      <alignment/>
      <protection hidden="1"/>
    </xf>
    <xf numFmtId="0" fontId="0" fillId="34" borderId="51" xfId="0" applyFill="1" applyBorder="1" applyAlignment="1" applyProtection="1">
      <alignment/>
      <protection hidden="1"/>
    </xf>
    <xf numFmtId="0" fontId="0" fillId="36" borderId="51" xfId="0" applyFill="1" applyBorder="1" applyAlignment="1" applyProtection="1">
      <alignment horizontal="center"/>
      <protection hidden="1"/>
    </xf>
    <xf numFmtId="0" fontId="1" fillId="41" borderId="14" xfId="0" applyFont="1" applyFill="1" applyBorder="1" applyAlignment="1" applyProtection="1">
      <alignment horizontal="center"/>
      <protection hidden="1" locked="0"/>
    </xf>
    <xf numFmtId="0" fontId="1" fillId="33" borderId="52" xfId="0" applyFont="1" applyFill="1" applyBorder="1" applyAlignment="1" applyProtection="1">
      <alignment/>
      <protection hidden="1"/>
    </xf>
    <xf numFmtId="0" fontId="1" fillId="33" borderId="33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11" fillId="0" borderId="33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1" fillId="0" borderId="33" xfId="0" applyNumberFormat="1" applyFont="1" applyFill="1" applyBorder="1" applyAlignment="1" applyProtection="1">
      <alignment horizontal="left" vertical="center"/>
      <protection hidden="1"/>
    </xf>
    <xf numFmtId="0" fontId="7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vertical="top"/>
      <protection hidden="1"/>
    </xf>
    <xf numFmtId="0" fontId="10" fillId="0" borderId="0" xfId="0" applyFont="1" applyAlignment="1" applyProtection="1">
      <alignment horizontal="center"/>
      <protection hidden="1"/>
    </xf>
    <xf numFmtId="49" fontId="7" fillId="0" borderId="14" xfId="0" applyNumberFormat="1" applyFont="1" applyBorder="1" applyAlignment="1" applyProtection="1">
      <alignment horizontal="center"/>
      <protection hidden="1" locked="0"/>
    </xf>
    <xf numFmtId="0" fontId="7" fillId="0" borderId="14" xfId="0" applyFont="1" applyBorder="1" applyAlignment="1" applyProtection="1">
      <alignment horizontal="center"/>
      <protection hidden="1"/>
    </xf>
    <xf numFmtId="0" fontId="20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22" fontId="0" fillId="0" borderId="0" xfId="0" applyNumberFormat="1" applyAlignment="1" applyProtection="1">
      <alignment horizontal="center"/>
      <protection hidden="1"/>
    </xf>
    <xf numFmtId="182" fontId="15" fillId="0" borderId="0" xfId="0" applyNumberFormat="1" applyFont="1" applyAlignment="1" applyProtection="1">
      <alignment horizontal="center"/>
      <protection hidden="1"/>
    </xf>
    <xf numFmtId="1" fontId="15" fillId="0" borderId="0" xfId="0" applyNumberFormat="1" applyFont="1" applyAlignment="1" applyProtection="1">
      <alignment horizontal="center"/>
      <protection hidden="1"/>
    </xf>
    <xf numFmtId="1" fontId="15" fillId="42" borderId="28" xfId="0" applyNumberFormat="1" applyFont="1" applyFill="1" applyBorder="1" applyAlignment="1" applyProtection="1">
      <alignment horizontal="center"/>
      <protection locked="0"/>
    </xf>
    <xf numFmtId="1" fontId="15" fillId="42" borderId="31" xfId="0" applyNumberFormat="1" applyFont="1" applyFill="1" applyBorder="1" applyAlignment="1" applyProtection="1">
      <alignment horizontal="center"/>
      <protection locked="0"/>
    </xf>
    <xf numFmtId="1" fontId="15" fillId="42" borderId="36" xfId="0" applyNumberFormat="1" applyFont="1" applyFill="1" applyBorder="1" applyAlignment="1" applyProtection="1">
      <alignment horizontal="center"/>
      <protection locked="0"/>
    </xf>
    <xf numFmtId="183" fontId="15" fillId="0" borderId="0" xfId="0" applyNumberFormat="1" applyFont="1" applyAlignment="1" applyProtection="1">
      <alignment horizontal="center"/>
      <protection hidden="1"/>
    </xf>
    <xf numFmtId="183" fontId="15" fillId="0" borderId="0" xfId="0" applyNumberFormat="1" applyFont="1" applyAlignment="1" applyProtection="1">
      <alignment/>
      <protection hidden="1"/>
    </xf>
    <xf numFmtId="183" fontId="15" fillId="33" borderId="14" xfId="0" applyNumberFormat="1" applyFont="1" applyFill="1" applyBorder="1" applyAlignment="1" applyProtection="1">
      <alignment horizontal="center"/>
      <protection hidden="1"/>
    </xf>
    <xf numFmtId="183" fontId="21" fillId="35" borderId="14" xfId="0" applyNumberFormat="1" applyFont="1" applyFill="1" applyBorder="1" applyAlignment="1" applyProtection="1">
      <alignment horizontal="center"/>
      <protection hidden="1" locked="0"/>
    </xf>
    <xf numFmtId="183" fontId="21" fillId="37" borderId="14" xfId="0" applyNumberFormat="1" applyFont="1" applyFill="1" applyBorder="1" applyAlignment="1" applyProtection="1">
      <alignment horizontal="center"/>
      <protection hidden="1" locked="0"/>
    </xf>
    <xf numFmtId="183" fontId="21" fillId="34" borderId="14" xfId="0" applyNumberFormat="1" applyFont="1" applyFill="1" applyBorder="1" applyAlignment="1" applyProtection="1">
      <alignment horizontal="center"/>
      <protection hidden="1"/>
    </xf>
    <xf numFmtId="183" fontId="7" fillId="0" borderId="14" xfId="0" applyNumberFormat="1" applyFont="1" applyBorder="1" applyAlignment="1" applyProtection="1">
      <alignment horizontal="center"/>
      <protection hidden="1"/>
    </xf>
    <xf numFmtId="46" fontId="7" fillId="0" borderId="14" xfId="0" applyNumberFormat="1" applyFont="1" applyBorder="1" applyAlignment="1" applyProtection="1">
      <alignment horizontal="center"/>
      <protection hidden="1"/>
    </xf>
    <xf numFmtId="183" fontId="7" fillId="0" borderId="14" xfId="0" applyNumberFormat="1" applyFont="1" applyBorder="1" applyAlignment="1" applyProtection="1">
      <alignment horizontal="center"/>
      <protection hidden="1" locked="0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21" fontId="15" fillId="0" borderId="0" xfId="0" applyNumberFormat="1" applyFont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1" fontId="15" fillId="43" borderId="16" xfId="0" applyNumberFormat="1" applyFont="1" applyFill="1" applyBorder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/>
      <protection hidden="1"/>
    </xf>
    <xf numFmtId="1" fontId="25" fillId="0" borderId="0" xfId="0" applyNumberFormat="1" applyFont="1" applyAlignment="1" applyProtection="1">
      <alignment horizontal="right"/>
      <protection hidden="1"/>
    </xf>
    <xf numFmtId="1" fontId="25" fillId="0" borderId="0" xfId="0" applyNumberFormat="1" applyFont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14" fillId="3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4" borderId="28" xfId="0" applyFill="1" applyBorder="1" applyAlignment="1" applyProtection="1">
      <alignment/>
      <protection locked="0"/>
    </xf>
    <xf numFmtId="0" fontId="0" fillId="34" borderId="31" xfId="0" applyFill="1" applyBorder="1" applyAlignment="1" applyProtection="1">
      <alignment/>
      <protection locked="0"/>
    </xf>
    <xf numFmtId="0" fontId="0" fillId="34" borderId="36" xfId="0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hidden="1"/>
    </xf>
    <xf numFmtId="14" fontId="7" fillId="0" borderId="0" xfId="0" applyNumberFormat="1" applyFont="1" applyAlignment="1" applyProtection="1">
      <alignment horizontal="left"/>
      <protection hidden="1"/>
    </xf>
    <xf numFmtId="185" fontId="0" fillId="0" borderId="0" xfId="0" applyNumberForma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6" fillId="33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readingOrder="1"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2" fontId="24" fillId="0" borderId="53" xfId="0" applyNumberFormat="1" applyFont="1" applyBorder="1" applyAlignment="1" applyProtection="1">
      <alignment horizontal="center" textRotation="90"/>
      <protection hidden="1"/>
    </xf>
    <xf numFmtId="0" fontId="24" fillId="0" borderId="53" xfId="0" applyFont="1" applyBorder="1" applyAlignment="1">
      <alignment horizontal="center" textRotation="90"/>
    </xf>
    <xf numFmtId="0" fontId="7" fillId="35" borderId="54" xfId="0" applyFont="1" applyFill="1" applyBorder="1" applyAlignment="1" applyProtection="1">
      <alignment horizontal="center" textRotation="90"/>
      <protection hidden="1"/>
    </xf>
    <xf numFmtId="0" fontId="7" fillId="35" borderId="55" xfId="0" applyFont="1" applyFill="1" applyBorder="1" applyAlignment="1" applyProtection="1">
      <alignment horizontal="center" textRotation="90"/>
      <protection hidden="1"/>
    </xf>
    <xf numFmtId="0" fontId="7" fillId="35" borderId="25" xfId="0" applyFont="1" applyFill="1" applyBorder="1" applyAlignment="1" applyProtection="1">
      <alignment horizontal="center" textRotation="90"/>
      <protection hidden="1"/>
    </xf>
    <xf numFmtId="184" fontId="1" fillId="0" borderId="37" xfId="0" applyNumberFormat="1" applyFont="1" applyBorder="1" applyAlignment="1" applyProtection="1">
      <alignment horizontal="center"/>
      <protection hidden="1" locked="0"/>
    </xf>
    <xf numFmtId="184" fontId="1" fillId="0" borderId="56" xfId="0" applyNumberFormat="1" applyFont="1" applyBorder="1" applyAlignment="1" applyProtection="1">
      <alignment horizontal="center"/>
      <protection hidden="1" locked="0"/>
    </xf>
    <xf numFmtId="0" fontId="1" fillId="0" borderId="29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 horizontal="center"/>
      <protection hidden="1" locked="0"/>
    </xf>
    <xf numFmtId="0" fontId="1" fillId="0" borderId="32" xfId="0" applyFont="1" applyBorder="1" applyAlignment="1" applyProtection="1">
      <alignment horizontal="center"/>
      <protection hidden="1" locked="0"/>
    </xf>
    <xf numFmtId="0" fontId="0" fillId="0" borderId="58" xfId="0" applyBorder="1" applyAlignment="1" applyProtection="1">
      <alignment horizontal="center"/>
      <protection hidden="1" locked="0"/>
    </xf>
    <xf numFmtId="15" fontId="1" fillId="0" borderId="32" xfId="0" applyNumberFormat="1" applyFont="1" applyBorder="1" applyAlignment="1" applyProtection="1">
      <alignment horizontal="center"/>
      <protection hidden="1" locked="0"/>
    </xf>
    <xf numFmtId="0" fontId="23" fillId="0" borderId="59" xfId="0" applyFont="1" applyBorder="1" applyAlignment="1" applyProtection="1">
      <alignment horizontal="center" textRotation="90"/>
      <protection hidden="1"/>
    </xf>
    <xf numFmtId="0" fontId="23" fillId="0" borderId="50" xfId="0" applyFont="1" applyBorder="1" applyAlignment="1" applyProtection="1">
      <alignment horizontal="center" textRotation="90"/>
      <protection hidden="1"/>
    </xf>
    <xf numFmtId="0" fontId="13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NumberFormat="1" applyFont="1" applyAlignment="1" applyProtection="1">
      <alignment horizontal="center"/>
      <protection hidden="1"/>
    </xf>
    <xf numFmtId="15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32" xfId="0" applyFont="1" applyBorder="1" applyAlignment="1" applyProtection="1">
      <alignment horizontal="center" vertical="center"/>
      <protection hidden="1"/>
    </xf>
    <xf numFmtId="0" fontId="1" fillId="0" borderId="60" xfId="0" applyFont="1" applyBorder="1" applyAlignment="1" applyProtection="1">
      <alignment horizontal="center" vertical="center"/>
      <protection hidden="1"/>
    </xf>
    <xf numFmtId="0" fontId="11" fillId="0" borderId="0" xfId="0" applyNumberFormat="1" applyFont="1" applyFill="1" applyBorder="1" applyAlignment="1" applyProtection="1">
      <alignment horizont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05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63"/>
      </font>
      <fill>
        <patternFill>
          <bgColor indexed="63"/>
        </patternFill>
      </fill>
    </dxf>
    <dxf>
      <fill>
        <patternFill>
          <bgColor indexed="51"/>
        </patternFill>
      </fill>
    </dxf>
    <dxf>
      <font>
        <color indexed="63"/>
      </font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10"/>
        </patternFill>
      </fill>
    </dxf>
    <dxf>
      <fill>
        <patternFill>
          <bgColor indexed="63"/>
        </patternFill>
      </fill>
    </dxf>
    <dxf/>
    <dxf>
      <fill>
        <patternFill>
          <bgColor indexed="10"/>
        </patternFill>
      </fill>
    </dxf>
    <dxf>
      <fill>
        <patternFill>
          <bgColor indexed="63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26</xdr:row>
      <xdr:rowOff>133350</xdr:rowOff>
    </xdr:from>
    <xdr:to>
      <xdr:col>3</xdr:col>
      <xdr:colOff>304800</xdr:colOff>
      <xdr:row>29</xdr:row>
      <xdr:rowOff>85725</xdr:rowOff>
    </xdr:to>
    <xdr:sp macro="[0]!Spielerübernahme">
      <xdr:nvSpPr>
        <xdr:cNvPr id="1" name="Text Box 6"/>
        <xdr:cNvSpPr txBox="1">
          <a:spLocks noChangeArrowheads="1"/>
        </xdr:cNvSpPr>
      </xdr:nvSpPr>
      <xdr:spPr>
        <a:xfrm>
          <a:off x="295275" y="4343400"/>
          <a:ext cx="1600200" cy="476250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Spieler in Spielplan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übernehmen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361950</xdr:colOff>
      <xdr:row>26</xdr:row>
      <xdr:rowOff>76200</xdr:rowOff>
    </xdr:from>
    <xdr:to>
      <xdr:col>15</xdr:col>
      <xdr:colOff>371475</xdr:colOff>
      <xdr:row>27</xdr:row>
      <xdr:rowOff>104775</xdr:rowOff>
    </xdr:to>
    <xdr:sp macro="[0]!Auslosung">
      <xdr:nvSpPr>
        <xdr:cNvPr id="1" name="Text Box 4"/>
        <xdr:cNvSpPr txBox="1">
          <a:spLocks noChangeArrowheads="1"/>
        </xdr:cNvSpPr>
      </xdr:nvSpPr>
      <xdr:spPr>
        <a:xfrm>
          <a:off x="5629275" y="5172075"/>
          <a:ext cx="2781300" cy="219075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Auslosung ohne gesetzte Spieler</a:t>
          </a:r>
        </a:p>
      </xdr:txBody>
    </xdr:sp>
    <xdr:clientData/>
  </xdr:twoCellAnchor>
  <xdr:twoCellAnchor editAs="absolute">
    <xdr:from>
      <xdr:col>9</xdr:col>
      <xdr:colOff>381000</xdr:colOff>
      <xdr:row>28</xdr:row>
      <xdr:rowOff>38100</xdr:rowOff>
    </xdr:from>
    <xdr:to>
      <xdr:col>15</xdr:col>
      <xdr:colOff>381000</xdr:colOff>
      <xdr:row>29</xdr:row>
      <xdr:rowOff>76200</xdr:rowOff>
    </xdr:to>
    <xdr:sp macro="[0]!Auslosung_mit_Setzliste">
      <xdr:nvSpPr>
        <xdr:cNvPr id="2" name="Text Box 5"/>
        <xdr:cNvSpPr txBox="1">
          <a:spLocks noChangeArrowheads="1"/>
        </xdr:cNvSpPr>
      </xdr:nvSpPr>
      <xdr:spPr>
        <a:xfrm>
          <a:off x="5648325" y="5514975"/>
          <a:ext cx="2771775" cy="228600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Auslosung mit gesetzten Spielern</a:t>
          </a:r>
        </a:p>
      </xdr:txBody>
    </xdr:sp>
    <xdr:clientData/>
  </xdr:twoCellAnchor>
  <xdr:twoCellAnchor editAs="absolute">
    <xdr:from>
      <xdr:col>12</xdr:col>
      <xdr:colOff>95250</xdr:colOff>
      <xdr:row>17</xdr:row>
      <xdr:rowOff>57150</xdr:rowOff>
    </xdr:from>
    <xdr:to>
      <xdr:col>15</xdr:col>
      <xdr:colOff>485775</xdr:colOff>
      <xdr:row>19</xdr:row>
      <xdr:rowOff>57150</xdr:rowOff>
    </xdr:to>
    <xdr:sp macro="[0]!Spielplananpassung_14_1">
      <xdr:nvSpPr>
        <xdr:cNvPr id="3" name="Text Box 6"/>
        <xdr:cNvSpPr txBox="1">
          <a:spLocks noChangeArrowheads="1"/>
        </xdr:cNvSpPr>
      </xdr:nvSpPr>
      <xdr:spPr>
        <a:xfrm>
          <a:off x="6915150" y="3390900"/>
          <a:ext cx="1609725" cy="400050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anpassen auf 14.1 endlos</a:t>
          </a:r>
        </a:p>
      </xdr:txBody>
    </xdr:sp>
    <xdr:clientData/>
  </xdr:twoCellAnchor>
  <xdr:twoCellAnchor editAs="absolute">
    <xdr:from>
      <xdr:col>12</xdr:col>
      <xdr:colOff>95250</xdr:colOff>
      <xdr:row>19</xdr:row>
      <xdr:rowOff>180975</xdr:rowOff>
    </xdr:from>
    <xdr:to>
      <xdr:col>15</xdr:col>
      <xdr:colOff>485775</xdr:colOff>
      <xdr:row>22</xdr:row>
      <xdr:rowOff>0</xdr:rowOff>
    </xdr:to>
    <xdr:sp macro="[0]!Spielplananpassung_89_Ball">
      <xdr:nvSpPr>
        <xdr:cNvPr id="4" name="Text Box 7"/>
        <xdr:cNvSpPr txBox="1">
          <a:spLocks noChangeArrowheads="1"/>
        </xdr:cNvSpPr>
      </xdr:nvSpPr>
      <xdr:spPr>
        <a:xfrm>
          <a:off x="6915150" y="3914775"/>
          <a:ext cx="1609725" cy="400050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anpassen auf 8/9-Ball</a:t>
          </a:r>
        </a:p>
      </xdr:txBody>
    </xdr:sp>
    <xdr:clientData/>
  </xdr:twoCellAnchor>
  <xdr:twoCellAnchor editAs="absolute">
    <xdr:from>
      <xdr:col>12</xdr:col>
      <xdr:colOff>95250</xdr:colOff>
      <xdr:row>22</xdr:row>
      <xdr:rowOff>133350</xdr:rowOff>
    </xdr:from>
    <xdr:to>
      <xdr:col>15</xdr:col>
      <xdr:colOff>485775</xdr:colOff>
      <xdr:row>24</xdr:row>
      <xdr:rowOff>142875</xdr:rowOff>
    </xdr:to>
    <xdr:sp macro="[0]!Spielplanleerung">
      <xdr:nvSpPr>
        <xdr:cNvPr id="5" name="Text Box 8"/>
        <xdr:cNvSpPr txBox="1">
          <a:spLocks noChangeArrowheads="1"/>
        </xdr:cNvSpPr>
      </xdr:nvSpPr>
      <xdr:spPr>
        <a:xfrm>
          <a:off x="6915150" y="4448175"/>
          <a:ext cx="1609725" cy="400050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Auslosung und Ergebn. löschen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381000</xdr:colOff>
      <xdr:row>34</xdr:row>
      <xdr:rowOff>28575</xdr:rowOff>
    </xdr:from>
    <xdr:to>
      <xdr:col>6</xdr:col>
      <xdr:colOff>180975</xdr:colOff>
      <xdr:row>36</xdr:row>
      <xdr:rowOff>47625</xdr:rowOff>
    </xdr:to>
    <xdr:sp macro="[0]!Tabellenaktualisierung">
      <xdr:nvSpPr>
        <xdr:cNvPr id="1" name="Rectangle 1"/>
        <xdr:cNvSpPr>
          <a:spLocks/>
        </xdr:cNvSpPr>
      </xdr:nvSpPr>
      <xdr:spPr>
        <a:xfrm>
          <a:off x="2228850" y="4610100"/>
          <a:ext cx="1343025" cy="295275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Tabelle aktualisieren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161925</xdr:colOff>
      <xdr:row>22</xdr:row>
      <xdr:rowOff>104775</xdr:rowOff>
    </xdr:from>
    <xdr:to>
      <xdr:col>8</xdr:col>
      <xdr:colOff>228600</xdr:colOff>
      <xdr:row>25</xdr:row>
      <xdr:rowOff>9525</xdr:rowOff>
    </xdr:to>
    <xdr:sp macro="[0]!Tabellenaktualisierung">
      <xdr:nvSpPr>
        <xdr:cNvPr id="1" name="Text Box 1"/>
        <xdr:cNvSpPr txBox="1">
          <a:spLocks noChangeArrowheads="1"/>
        </xdr:cNvSpPr>
      </xdr:nvSpPr>
      <xdr:spPr>
        <a:xfrm>
          <a:off x="3886200" y="3086100"/>
          <a:ext cx="1133475" cy="466725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Tabelle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aktualisieren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ffice1.freenet.de/Ablage%20Billard\Turnierpl&#228;ne\Turnierpl&#228;ne%20020912\BBV%20Turnierplan%20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elereingabe"/>
      <sheetName val="SP32"/>
      <sheetName val="Baum32"/>
      <sheetName val="Paarung drucken"/>
      <sheetName val="Tabelle"/>
      <sheetName val="Preisgeld"/>
    </sheetNames>
    <sheetDataSet>
      <sheetData sheetId="1">
        <row r="2">
          <cell r="D2" t="str">
            <v>Tln1</v>
          </cell>
          <cell r="E2" t="str">
            <v>Tln2</v>
          </cell>
          <cell r="F2" t="str">
            <v>Sp1</v>
          </cell>
          <cell r="G2" t="str">
            <v>Sp2</v>
          </cell>
          <cell r="H2" t="str">
            <v>Auf1</v>
          </cell>
          <cell r="I2" t="str">
            <v>Auf2</v>
          </cell>
          <cell r="J2" t="str">
            <v>HS1</v>
          </cell>
          <cell r="K2" t="str">
            <v>HS2</v>
          </cell>
          <cell r="L2" t="str">
            <v>Tisch</v>
          </cell>
        </row>
        <row r="3">
          <cell r="C3">
            <v>1</v>
          </cell>
          <cell r="D3" t="str">
            <v>Spieler 1</v>
          </cell>
          <cell r="E3" t="str">
            <v>Spieler 17</v>
          </cell>
        </row>
        <row r="4">
          <cell r="C4">
            <v>2</v>
          </cell>
          <cell r="D4" t="str">
            <v>Spieler 9</v>
          </cell>
          <cell r="E4" t="str">
            <v>Spieler 25</v>
          </cell>
        </row>
        <row r="5">
          <cell r="C5">
            <v>3</v>
          </cell>
          <cell r="D5" t="str">
            <v>Spieler 5</v>
          </cell>
          <cell r="E5" t="str">
            <v>Spieler 21</v>
          </cell>
        </row>
        <row r="6">
          <cell r="C6">
            <v>4</v>
          </cell>
          <cell r="D6" t="str">
            <v>Spieler 13</v>
          </cell>
          <cell r="E6" t="str">
            <v>Spieler 29</v>
          </cell>
        </row>
        <row r="7">
          <cell r="C7">
            <v>5</v>
          </cell>
          <cell r="D7" t="str">
            <v>Spieler 3</v>
          </cell>
          <cell r="E7" t="str">
            <v>Spieler 19</v>
          </cell>
        </row>
        <row r="8">
          <cell r="C8">
            <v>6</v>
          </cell>
          <cell r="D8" t="str">
            <v>Spieler 11</v>
          </cell>
          <cell r="E8" t="str">
            <v>Spieler 27</v>
          </cell>
        </row>
        <row r="9">
          <cell r="C9">
            <v>7</v>
          </cell>
          <cell r="D9" t="str">
            <v>Spieler 7</v>
          </cell>
          <cell r="E9" t="str">
            <v>Spieler 23</v>
          </cell>
        </row>
        <row r="10">
          <cell r="C10">
            <v>8</v>
          </cell>
          <cell r="D10" t="str">
            <v>Spieler 15</v>
          </cell>
          <cell r="E10" t="str">
            <v>Spieler 31</v>
          </cell>
        </row>
        <row r="11">
          <cell r="C11">
            <v>9</v>
          </cell>
          <cell r="D11" t="str">
            <v>Spieler 2</v>
          </cell>
          <cell r="E11" t="str">
            <v>Spieler 18</v>
          </cell>
        </row>
        <row r="12">
          <cell r="C12">
            <v>10</v>
          </cell>
          <cell r="D12" t="str">
            <v>Spieler 10</v>
          </cell>
          <cell r="E12" t="str">
            <v>Spieler 26</v>
          </cell>
        </row>
        <row r="13">
          <cell r="C13">
            <v>11</v>
          </cell>
          <cell r="D13" t="str">
            <v>Spieler 6</v>
          </cell>
          <cell r="E13" t="str">
            <v>Spieler 22</v>
          </cell>
        </row>
        <row r="14">
          <cell r="C14">
            <v>12</v>
          </cell>
          <cell r="D14" t="str">
            <v>Spieler 14</v>
          </cell>
          <cell r="E14" t="str">
            <v>Spieler 30</v>
          </cell>
        </row>
        <row r="15">
          <cell r="C15">
            <v>13</v>
          </cell>
          <cell r="D15" t="str">
            <v>Spieler 4</v>
          </cell>
          <cell r="E15" t="str">
            <v>Spieler 20</v>
          </cell>
        </row>
        <row r="16">
          <cell r="C16">
            <v>14</v>
          </cell>
          <cell r="D16" t="str">
            <v>Spieler 12</v>
          </cell>
          <cell r="E16" t="str">
            <v>Spieler 28</v>
          </cell>
        </row>
        <row r="17">
          <cell r="C17">
            <v>15</v>
          </cell>
          <cell r="D17" t="str">
            <v>Spieler 8</v>
          </cell>
          <cell r="E17" t="str">
            <v>Spieler 24</v>
          </cell>
        </row>
        <row r="18">
          <cell r="C18">
            <v>16</v>
          </cell>
          <cell r="D18" t="str">
            <v>Spieler 16</v>
          </cell>
          <cell r="E18" t="str">
            <v>Spieler 32</v>
          </cell>
        </row>
        <row r="19">
          <cell r="C19">
            <v>17</v>
          </cell>
          <cell r="D19" t="str">
            <v>Verlierer 1</v>
          </cell>
          <cell r="E19" t="str">
            <v>Verlierer 2</v>
          </cell>
        </row>
        <row r="20">
          <cell r="C20">
            <v>18</v>
          </cell>
          <cell r="D20" t="str">
            <v>Verlierer 3</v>
          </cell>
          <cell r="E20" t="str">
            <v>Verlierer 4</v>
          </cell>
        </row>
        <row r="21">
          <cell r="C21">
            <v>19</v>
          </cell>
          <cell r="D21" t="str">
            <v>Verlierer 5</v>
          </cell>
          <cell r="E21" t="str">
            <v>Verlierer 6</v>
          </cell>
        </row>
        <row r="22">
          <cell r="C22">
            <v>20</v>
          </cell>
          <cell r="D22" t="str">
            <v>Verlierer 7</v>
          </cell>
          <cell r="E22" t="str">
            <v>Verlierer 8</v>
          </cell>
        </row>
        <row r="23">
          <cell r="C23">
            <v>21</v>
          </cell>
          <cell r="D23" t="str">
            <v>Verlierer 9</v>
          </cell>
          <cell r="E23" t="str">
            <v>Verlierer 10</v>
          </cell>
        </row>
        <row r="24">
          <cell r="C24">
            <v>22</v>
          </cell>
          <cell r="D24" t="str">
            <v>Verlierer 11</v>
          </cell>
          <cell r="E24" t="str">
            <v>Verlierer 12</v>
          </cell>
        </row>
        <row r="25">
          <cell r="C25">
            <v>23</v>
          </cell>
          <cell r="D25" t="str">
            <v>Verlierer 13</v>
          </cell>
          <cell r="E25" t="str">
            <v>Verlierer 14</v>
          </cell>
        </row>
        <row r="26">
          <cell r="C26">
            <v>24</v>
          </cell>
          <cell r="D26" t="str">
            <v>Verlierer 15</v>
          </cell>
          <cell r="E26" t="str">
            <v>Verlierer 16</v>
          </cell>
        </row>
        <row r="27">
          <cell r="C27">
            <v>25</v>
          </cell>
          <cell r="D27" t="str">
            <v>Sieger 1</v>
          </cell>
          <cell r="E27" t="str">
            <v>Sieger 2</v>
          </cell>
        </row>
        <row r="28">
          <cell r="C28">
            <v>26</v>
          </cell>
          <cell r="D28" t="str">
            <v>Sieger 3</v>
          </cell>
          <cell r="E28" t="str">
            <v>Sieger 4</v>
          </cell>
        </row>
        <row r="29">
          <cell r="C29">
            <v>27</v>
          </cell>
          <cell r="D29" t="str">
            <v>Sieger 5</v>
          </cell>
          <cell r="E29" t="str">
            <v>Sieger 6</v>
          </cell>
        </row>
        <row r="30">
          <cell r="C30">
            <v>28</v>
          </cell>
          <cell r="D30" t="str">
            <v>Sieger 7</v>
          </cell>
          <cell r="E30" t="str">
            <v>Sieger 8</v>
          </cell>
        </row>
        <row r="31">
          <cell r="C31">
            <v>29</v>
          </cell>
          <cell r="D31" t="str">
            <v>Sieger 9</v>
          </cell>
          <cell r="E31" t="str">
            <v>Sieger 10</v>
          </cell>
        </row>
        <row r="32">
          <cell r="C32">
            <v>30</v>
          </cell>
          <cell r="D32" t="str">
            <v>Sieger 11</v>
          </cell>
          <cell r="E32" t="str">
            <v>Sieger 12</v>
          </cell>
        </row>
        <row r="33">
          <cell r="C33">
            <v>31</v>
          </cell>
          <cell r="D33" t="str">
            <v>Sieger 13</v>
          </cell>
          <cell r="E33" t="str">
            <v>Sieger 14</v>
          </cell>
        </row>
        <row r="34">
          <cell r="C34">
            <v>32</v>
          </cell>
          <cell r="D34" t="str">
            <v>Sieger 15</v>
          </cell>
          <cell r="E34" t="str">
            <v>Sieger 16</v>
          </cell>
        </row>
        <row r="35">
          <cell r="C35">
            <v>33</v>
          </cell>
          <cell r="D35" t="str">
            <v>Sieger 17</v>
          </cell>
          <cell r="E35" t="str">
            <v>Verlierer 27</v>
          </cell>
        </row>
        <row r="36">
          <cell r="C36">
            <v>34</v>
          </cell>
          <cell r="D36" t="str">
            <v>Sieger 18</v>
          </cell>
          <cell r="E36" t="str">
            <v>Verlierer 28</v>
          </cell>
        </row>
        <row r="37">
          <cell r="C37">
            <v>35</v>
          </cell>
          <cell r="D37" t="str">
            <v>Sieger 19</v>
          </cell>
          <cell r="E37" t="str">
            <v>Verlierer 29</v>
          </cell>
        </row>
        <row r="38">
          <cell r="C38">
            <v>36</v>
          </cell>
          <cell r="D38" t="str">
            <v>Sieger 20</v>
          </cell>
          <cell r="E38" t="str">
            <v>Verlierer 30</v>
          </cell>
        </row>
        <row r="39">
          <cell r="C39">
            <v>37</v>
          </cell>
          <cell r="D39" t="str">
            <v>Sieger 21</v>
          </cell>
          <cell r="E39" t="str">
            <v>Verlierer 31</v>
          </cell>
        </row>
        <row r="40">
          <cell r="C40">
            <v>38</v>
          </cell>
          <cell r="D40" t="str">
            <v>Sieger 22</v>
          </cell>
          <cell r="E40" t="str">
            <v>Verlierer 32</v>
          </cell>
        </row>
        <row r="41">
          <cell r="C41">
            <v>39</v>
          </cell>
          <cell r="D41" t="str">
            <v>Sieger 23</v>
          </cell>
          <cell r="E41" t="str">
            <v>Verlierer 25</v>
          </cell>
        </row>
        <row r="42">
          <cell r="C42">
            <v>40</v>
          </cell>
          <cell r="D42" t="str">
            <v>Sieger 24</v>
          </cell>
          <cell r="E42" t="str">
            <v>Verlierer 26</v>
          </cell>
        </row>
        <row r="43">
          <cell r="C43">
            <v>41</v>
          </cell>
          <cell r="D43" t="str">
            <v>Sieger 33</v>
          </cell>
          <cell r="E43" t="str">
            <v>Sieger 34</v>
          </cell>
        </row>
        <row r="44">
          <cell r="C44">
            <v>42</v>
          </cell>
          <cell r="D44" t="str">
            <v>Sieger 35</v>
          </cell>
          <cell r="E44" t="str">
            <v>Sieger 36</v>
          </cell>
        </row>
        <row r="45">
          <cell r="C45">
            <v>43</v>
          </cell>
          <cell r="D45" t="str">
            <v>Sieger 37</v>
          </cell>
          <cell r="E45" t="str">
            <v>Sieger 38</v>
          </cell>
        </row>
        <row r="46">
          <cell r="C46">
            <v>44</v>
          </cell>
          <cell r="D46" t="str">
            <v>Sieger 39</v>
          </cell>
          <cell r="E46" t="str">
            <v>Sieger 40</v>
          </cell>
        </row>
        <row r="47">
          <cell r="C47">
            <v>45</v>
          </cell>
          <cell r="D47" t="str">
            <v>Sieger 25</v>
          </cell>
          <cell r="E47" t="str">
            <v>Sieger 26</v>
          </cell>
        </row>
        <row r="48">
          <cell r="C48">
            <v>46</v>
          </cell>
          <cell r="D48" t="str">
            <v>Sieger 27</v>
          </cell>
          <cell r="E48" t="str">
            <v>Sieger 28</v>
          </cell>
        </row>
        <row r="49">
          <cell r="C49">
            <v>47</v>
          </cell>
          <cell r="D49" t="str">
            <v>Sieger 29</v>
          </cell>
          <cell r="E49" t="str">
            <v>Sieger 30</v>
          </cell>
        </row>
        <row r="50">
          <cell r="C50">
            <v>48</v>
          </cell>
          <cell r="D50" t="str">
            <v>Sieger 31</v>
          </cell>
          <cell r="E50" t="str">
            <v>Sieger 32</v>
          </cell>
        </row>
        <row r="51">
          <cell r="C51">
            <v>49</v>
          </cell>
          <cell r="D51" t="str">
            <v>Sieger 41</v>
          </cell>
          <cell r="E51" t="str">
            <v>Verlierer 48</v>
          </cell>
        </row>
        <row r="52">
          <cell r="C52">
            <v>50</v>
          </cell>
          <cell r="D52" t="str">
            <v>Sieger 42</v>
          </cell>
          <cell r="E52" t="str">
            <v>Verlierer 45</v>
          </cell>
        </row>
        <row r="53">
          <cell r="C53">
            <v>51</v>
          </cell>
          <cell r="D53" t="str">
            <v>Sieger 43</v>
          </cell>
          <cell r="E53" t="str">
            <v>Verlierer 46</v>
          </cell>
        </row>
        <row r="54">
          <cell r="C54">
            <v>52</v>
          </cell>
          <cell r="D54" t="str">
            <v>Sieger 44</v>
          </cell>
          <cell r="E54" t="str">
            <v>Verlierer 47</v>
          </cell>
        </row>
        <row r="55">
          <cell r="C55">
            <v>53</v>
          </cell>
          <cell r="D55" t="str">
            <v>Sieger 49</v>
          </cell>
          <cell r="E55" t="str">
            <v>Sieger 50</v>
          </cell>
        </row>
        <row r="56">
          <cell r="C56">
            <v>54</v>
          </cell>
          <cell r="D56" t="str">
            <v>Sieger 51</v>
          </cell>
          <cell r="E56" t="str">
            <v>Sieger 52</v>
          </cell>
        </row>
        <row r="57">
          <cell r="C57">
            <v>55</v>
          </cell>
          <cell r="D57" t="str">
            <v>Sieger 45</v>
          </cell>
          <cell r="E57" t="str">
            <v>Sieger 46</v>
          </cell>
        </row>
        <row r="58">
          <cell r="C58">
            <v>56</v>
          </cell>
          <cell r="D58" t="str">
            <v>Sieger 47</v>
          </cell>
          <cell r="E58" t="str">
            <v>Sieger 48</v>
          </cell>
        </row>
        <row r="59">
          <cell r="C59">
            <v>57</v>
          </cell>
          <cell r="D59" t="str">
            <v>Sieger 53</v>
          </cell>
          <cell r="E59" t="str">
            <v>Verlierer 55</v>
          </cell>
        </row>
        <row r="60">
          <cell r="C60">
            <v>58</v>
          </cell>
          <cell r="D60" t="str">
            <v>Sieger 54</v>
          </cell>
          <cell r="E60" t="str">
            <v>Verlierer 56</v>
          </cell>
        </row>
        <row r="61">
          <cell r="C61">
            <v>59</v>
          </cell>
          <cell r="D61" t="str">
            <v>Sieger 57</v>
          </cell>
          <cell r="E61" t="str">
            <v>Sieger 58</v>
          </cell>
        </row>
        <row r="62">
          <cell r="C62">
            <v>60</v>
          </cell>
          <cell r="D62" t="str">
            <v>Sieger 55</v>
          </cell>
          <cell r="E62" t="str">
            <v>Sieger 56</v>
          </cell>
        </row>
        <row r="63">
          <cell r="C63">
            <v>61</v>
          </cell>
          <cell r="D63" t="str">
            <v>Sieger 59</v>
          </cell>
          <cell r="E63" t="str">
            <v>Verlierer 60</v>
          </cell>
        </row>
        <row r="64">
          <cell r="C64">
            <v>62</v>
          </cell>
          <cell r="D64" t="str">
            <v>Sieger 60</v>
          </cell>
          <cell r="E64" t="str">
            <v>Sieger 61</v>
          </cell>
        </row>
        <row r="65">
          <cell r="C65">
            <v>63</v>
          </cell>
          <cell r="D65" t="str">
            <v>Sieger 62</v>
          </cell>
          <cell r="E65" t="str">
            <v>Verlierer 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6"/>
  <dimension ref="A1:J27"/>
  <sheetViews>
    <sheetView tabSelected="1" zoomScalePageLayoutView="0" workbookViewId="0" topLeftCell="A1">
      <selection activeCell="F9" sqref="F9"/>
    </sheetView>
  </sheetViews>
  <sheetFormatPr defaultColWidth="28.7109375" defaultRowHeight="12.75"/>
  <cols>
    <col min="1" max="1" width="4.421875" style="0" bestFit="1" customWidth="1"/>
    <col min="2" max="2" width="9.57421875" style="0" customWidth="1"/>
    <col min="3" max="3" width="9.8515625" style="0" bestFit="1" customWidth="1"/>
    <col min="4" max="4" width="13.00390625" style="0" bestFit="1" customWidth="1"/>
    <col min="5" max="5" width="18.57421875" style="0" bestFit="1" customWidth="1"/>
    <col min="6" max="6" width="5.421875" style="0" customWidth="1"/>
    <col min="7" max="7" width="19.28125" style="0" hidden="1" customWidth="1"/>
    <col min="8" max="8" width="18.57421875" style="0" hidden="1" customWidth="1"/>
    <col min="9" max="9" width="10.140625" style="0" hidden="1" customWidth="1"/>
    <col min="10" max="10" width="7.00390625" style="0" hidden="1" customWidth="1"/>
  </cols>
  <sheetData>
    <row r="1" ht="12.75">
      <c r="B1" s="221" t="s">
        <v>134</v>
      </c>
    </row>
    <row r="2" ht="12.75">
      <c r="B2" s="221" t="s">
        <v>150</v>
      </c>
    </row>
    <row r="3" ht="12.75">
      <c r="B3" s="221" t="s">
        <v>166</v>
      </c>
    </row>
    <row r="4" spans="1:6" ht="12.75">
      <c r="A4" s="215"/>
      <c r="B4" s="216"/>
      <c r="C4" s="215"/>
      <c r="D4" s="215"/>
      <c r="E4" s="215"/>
      <c r="F4" s="215"/>
    </row>
    <row r="5" spans="1:6" ht="12.75">
      <c r="A5" s="215"/>
      <c r="B5" t="s">
        <v>149</v>
      </c>
      <c r="C5" t="s">
        <v>132</v>
      </c>
      <c r="D5" t="s">
        <v>133</v>
      </c>
      <c r="E5" t="s">
        <v>4</v>
      </c>
      <c r="F5" s="217"/>
    </row>
    <row r="6" spans="1:10" ht="12.75">
      <c r="A6" s="215">
        <v>1</v>
      </c>
      <c r="B6">
        <v>150347</v>
      </c>
      <c r="C6" t="s">
        <v>135</v>
      </c>
      <c r="D6" t="s">
        <v>136</v>
      </c>
      <c r="E6" t="s">
        <v>151</v>
      </c>
      <c r="F6" s="215"/>
      <c r="G6" s="219" t="str">
        <f>IF(C6&amp;" "&amp;D6=" ","",C6&amp;" "&amp;D6)</f>
        <v>Julian Kurz</v>
      </c>
      <c r="H6" s="219" t="str">
        <f>IF(E6="","",E6)</f>
        <v>PBSC Donauwörth</v>
      </c>
      <c r="I6" s="219"/>
      <c r="J6" s="219">
        <f>IF(B6="","",B6)</f>
        <v>150347</v>
      </c>
    </row>
    <row r="7" spans="1:10" ht="12.75">
      <c r="A7" s="215">
        <v>2</v>
      </c>
      <c r="B7">
        <v>164727</v>
      </c>
      <c r="C7" t="s">
        <v>137</v>
      </c>
      <c r="D7" t="s">
        <v>138</v>
      </c>
      <c r="E7" t="s">
        <v>152</v>
      </c>
      <c r="F7" s="215"/>
      <c r="G7" s="219" t="str">
        <f aca="true" t="shared" si="0" ref="G7:G21">IF(C7&amp;" "&amp;D7=" ","",C7&amp;" "&amp;D7)</f>
        <v>Christoph Wiedenmann</v>
      </c>
      <c r="H7" s="219" t="str">
        <f aca="true" t="shared" si="1" ref="H7:H21">IF(E7="","",E7)</f>
        <v>1.PBC Königsbrunn</v>
      </c>
      <c r="I7" s="219"/>
      <c r="J7" s="219">
        <f aca="true" t="shared" si="2" ref="J7:J21">IF(B7="","",B7)</f>
        <v>164727</v>
      </c>
    </row>
    <row r="8" spans="1:10" ht="12.75">
      <c r="A8" s="215">
        <v>3</v>
      </c>
      <c r="B8">
        <v>176593</v>
      </c>
      <c r="C8" t="s">
        <v>130</v>
      </c>
      <c r="D8" t="s">
        <v>139</v>
      </c>
      <c r="E8" t="s">
        <v>153</v>
      </c>
      <c r="F8" s="215"/>
      <c r="G8" s="219" t="str">
        <f t="shared" si="0"/>
        <v>Oliver Luhn</v>
      </c>
      <c r="H8" s="219" t="str">
        <f t="shared" si="1"/>
        <v>BSV Forum</v>
      </c>
      <c r="I8" s="219"/>
      <c r="J8" s="219">
        <f t="shared" si="2"/>
        <v>176593</v>
      </c>
    </row>
    <row r="9" spans="1:10" ht="12.75">
      <c r="A9" s="215">
        <v>4</v>
      </c>
      <c r="B9">
        <v>144446</v>
      </c>
      <c r="C9" t="s">
        <v>131</v>
      </c>
      <c r="D9" t="s">
        <v>140</v>
      </c>
      <c r="E9" t="s">
        <v>153</v>
      </c>
      <c r="F9" s="215"/>
      <c r="G9" s="219" t="str">
        <f t="shared" si="0"/>
        <v>Florian Guddat</v>
      </c>
      <c r="H9" s="219" t="str">
        <f t="shared" si="1"/>
        <v>BSV Forum</v>
      </c>
      <c r="I9" s="219"/>
      <c r="J9" s="219">
        <f t="shared" si="2"/>
        <v>144446</v>
      </c>
    </row>
    <row r="10" spans="1:10" ht="12.75">
      <c r="A10" s="215">
        <v>5</v>
      </c>
      <c r="B10">
        <v>162343</v>
      </c>
      <c r="C10" t="s">
        <v>141</v>
      </c>
      <c r="D10" t="s">
        <v>142</v>
      </c>
      <c r="E10" t="s">
        <v>154</v>
      </c>
      <c r="F10" s="215"/>
      <c r="G10" s="219" t="str">
        <f t="shared" si="0"/>
        <v>Luis Swidersky</v>
      </c>
      <c r="H10" s="219" t="str">
        <f t="shared" si="1"/>
        <v>BSC Martinsried</v>
      </c>
      <c r="I10" s="219"/>
      <c r="J10" s="219">
        <f t="shared" si="2"/>
        <v>162343</v>
      </c>
    </row>
    <row r="11" spans="1:10" ht="12.75">
      <c r="A11" s="215">
        <v>6</v>
      </c>
      <c r="B11">
        <v>149625</v>
      </c>
      <c r="C11" t="s">
        <v>143</v>
      </c>
      <c r="D11" t="s">
        <v>144</v>
      </c>
      <c r="E11" t="s">
        <v>155</v>
      </c>
      <c r="F11" s="215"/>
      <c r="G11" s="219" t="str">
        <f t="shared" si="0"/>
        <v>Daniel Koslitz</v>
      </c>
      <c r="H11" s="219" t="str">
        <f t="shared" si="1"/>
        <v>1.PBC Kempten</v>
      </c>
      <c r="I11" s="219"/>
      <c r="J11" s="219">
        <f t="shared" si="2"/>
        <v>149625</v>
      </c>
    </row>
    <row r="12" spans="1:10" ht="12.75">
      <c r="A12" s="215">
        <v>7</v>
      </c>
      <c r="B12">
        <v>140916</v>
      </c>
      <c r="C12" t="s">
        <v>145</v>
      </c>
      <c r="D12" t="s">
        <v>146</v>
      </c>
      <c r="E12" t="s">
        <v>151</v>
      </c>
      <c r="F12" s="215"/>
      <c r="G12" s="219" t="str">
        <f t="shared" si="0"/>
        <v>Markus Döbler</v>
      </c>
      <c r="H12" s="219" t="str">
        <f t="shared" si="1"/>
        <v>PBSC Donauwörth</v>
      </c>
      <c r="I12" s="219"/>
      <c r="J12" s="219">
        <f t="shared" si="2"/>
        <v>140916</v>
      </c>
    </row>
    <row r="13" spans="1:10" ht="12.75">
      <c r="A13" s="215">
        <v>8</v>
      </c>
      <c r="B13">
        <v>141490</v>
      </c>
      <c r="C13" t="s">
        <v>147</v>
      </c>
      <c r="D13" t="s">
        <v>148</v>
      </c>
      <c r="E13" t="s">
        <v>156</v>
      </c>
      <c r="F13" s="215"/>
      <c r="G13" s="219" t="str">
        <f t="shared" si="0"/>
        <v>Thomas Engel</v>
      </c>
      <c r="H13" s="219" t="str">
        <f t="shared" si="1"/>
        <v>1.PBC Memmingen</v>
      </c>
      <c r="I13" s="219"/>
      <c r="J13" s="219">
        <f t="shared" si="2"/>
        <v>141490</v>
      </c>
    </row>
    <row r="14" spans="1:10" ht="12.75">
      <c r="A14" s="215">
        <v>9</v>
      </c>
      <c r="F14" s="215"/>
      <c r="G14" s="219">
        <f t="shared" si="0"/>
      </c>
      <c r="H14" s="219">
        <f t="shared" si="1"/>
      </c>
      <c r="I14" s="219"/>
      <c r="J14" s="219">
        <f t="shared" si="2"/>
      </c>
    </row>
    <row r="15" spans="1:10" ht="12.75">
      <c r="A15" s="215">
        <v>10</v>
      </c>
      <c r="F15" s="215"/>
      <c r="G15" s="219">
        <f t="shared" si="0"/>
      </c>
      <c r="H15" s="219">
        <f t="shared" si="1"/>
      </c>
      <c r="I15" s="219"/>
      <c r="J15" s="219">
        <f t="shared" si="2"/>
      </c>
    </row>
    <row r="16" spans="1:10" ht="12.75">
      <c r="A16" s="215">
        <v>11</v>
      </c>
      <c r="F16" s="215"/>
      <c r="G16" s="219">
        <f t="shared" si="0"/>
      </c>
      <c r="H16" s="219">
        <f t="shared" si="1"/>
      </c>
      <c r="I16" s="219"/>
      <c r="J16" s="219">
        <f t="shared" si="2"/>
      </c>
    </row>
    <row r="17" spans="1:10" ht="12.75">
      <c r="A17" s="215">
        <v>12</v>
      </c>
      <c r="F17" s="215"/>
      <c r="G17" s="219">
        <f t="shared" si="0"/>
      </c>
      <c r="H17" s="219">
        <f t="shared" si="1"/>
      </c>
      <c r="I17" s="219"/>
      <c r="J17" s="219">
        <f t="shared" si="2"/>
      </c>
    </row>
    <row r="18" spans="1:10" ht="12.75">
      <c r="A18" s="215">
        <v>13</v>
      </c>
      <c r="F18" s="215"/>
      <c r="G18" s="219">
        <f t="shared" si="0"/>
      </c>
      <c r="H18" s="219">
        <f t="shared" si="1"/>
      </c>
      <c r="I18" s="219"/>
      <c r="J18" s="219">
        <f t="shared" si="2"/>
      </c>
    </row>
    <row r="19" spans="1:10" ht="12.75">
      <c r="A19" s="215">
        <v>14</v>
      </c>
      <c r="F19" s="215"/>
      <c r="G19" s="219">
        <f t="shared" si="0"/>
      </c>
      <c r="H19" s="219">
        <f t="shared" si="1"/>
      </c>
      <c r="I19" s="219"/>
      <c r="J19" s="219">
        <f t="shared" si="2"/>
      </c>
    </row>
    <row r="20" spans="1:10" ht="12.75">
      <c r="A20" s="215">
        <v>15</v>
      </c>
      <c r="F20" s="215"/>
      <c r="G20" s="219">
        <f t="shared" si="0"/>
      </c>
      <c r="H20" s="219">
        <f t="shared" si="1"/>
      </c>
      <c r="I20" s="219"/>
      <c r="J20" s="219">
        <f t="shared" si="2"/>
      </c>
    </row>
    <row r="21" spans="1:10" ht="12.75">
      <c r="A21" s="215">
        <v>16</v>
      </c>
      <c r="F21" s="215"/>
      <c r="G21" s="219">
        <f t="shared" si="0"/>
      </c>
      <c r="H21" s="219">
        <f t="shared" si="1"/>
      </c>
      <c r="I21" s="219"/>
      <c r="J21" s="219">
        <f t="shared" si="2"/>
      </c>
    </row>
    <row r="22" spans="1:6" ht="12.75">
      <c r="A22" s="215"/>
      <c r="B22" s="215"/>
      <c r="C22" s="215"/>
      <c r="D22" s="215"/>
      <c r="E22" s="215"/>
      <c r="F22" s="215"/>
    </row>
    <row r="27" ht="15.75">
      <c r="C27" s="21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T68"/>
  <sheetViews>
    <sheetView showGridLines="0" showOutlineSymbols="0" zoomScalePageLayoutView="0" workbookViewId="0" topLeftCell="A4">
      <selection activeCell="L26" sqref="L26"/>
    </sheetView>
  </sheetViews>
  <sheetFormatPr defaultColWidth="9.140625" defaultRowHeight="12.75"/>
  <cols>
    <col min="1" max="1" width="5.421875" style="2" customWidth="1"/>
    <col min="2" max="2" width="4.8515625" style="2" customWidth="1"/>
    <col min="3" max="3" width="7.00390625" style="2" hidden="1" customWidth="1"/>
    <col min="4" max="5" width="8.140625" style="2" hidden="1" customWidth="1"/>
    <col min="6" max="6" width="28.00390625" style="2" customWidth="1"/>
    <col min="7" max="7" width="27.8515625" style="2" customWidth="1"/>
    <col min="8" max="8" width="0.2890625" style="2" customWidth="1"/>
    <col min="9" max="9" width="12.57421875" style="2" customWidth="1"/>
    <col min="10" max="11" width="9.140625" style="2" customWidth="1"/>
    <col min="12" max="12" width="5.00390625" style="2" customWidth="1"/>
    <col min="13" max="13" width="11.00390625" style="2" customWidth="1"/>
    <col min="14" max="14" width="7.28125" style="6" hidden="1" customWidth="1"/>
    <col min="15" max="15" width="7.28125" style="6" customWidth="1"/>
    <col min="16" max="16" width="21.00390625" style="2" bestFit="1" customWidth="1"/>
    <col min="17" max="17" width="18.28125" style="2" hidden="1" customWidth="1"/>
    <col min="18" max="18" width="3.140625" style="2" hidden="1" customWidth="1"/>
    <col min="19" max="19" width="10.7109375" style="2" hidden="1" customWidth="1"/>
    <col min="20" max="20" width="9.140625" style="2" hidden="1" customWidth="1"/>
    <col min="21" max="16384" width="9.140625" style="2" customWidth="1"/>
  </cols>
  <sheetData>
    <row r="1" spans="1:10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 t="s">
        <v>105</v>
      </c>
      <c r="B2" s="1"/>
      <c r="C2" s="1"/>
      <c r="D2" s="1"/>
      <c r="E2" s="1"/>
      <c r="F2" s="1"/>
      <c r="G2" s="1"/>
      <c r="H2" s="1"/>
      <c r="I2" s="1"/>
      <c r="J2" s="1"/>
    </row>
    <row r="3" spans="1:15" s="1" customFormat="1" ht="15">
      <c r="A3" s="1" t="s">
        <v>106</v>
      </c>
      <c r="N3" s="180"/>
      <c r="O3" s="180"/>
    </row>
    <row r="4" spans="1:10" ht="1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1" t="s">
        <v>56</v>
      </c>
      <c r="B5" s="1"/>
      <c r="C5" s="1"/>
      <c r="D5" s="1"/>
      <c r="E5" s="1"/>
      <c r="F5" s="1"/>
      <c r="G5" s="35"/>
      <c r="H5" s="1"/>
      <c r="I5" s="1"/>
      <c r="J5" s="1"/>
    </row>
    <row r="6" spans="1:10" ht="15">
      <c r="A6" s="1" t="s">
        <v>2</v>
      </c>
      <c r="B6" s="1"/>
      <c r="C6" s="1"/>
      <c r="D6" s="1"/>
      <c r="E6" s="1"/>
      <c r="F6" s="1"/>
      <c r="G6" s="35" t="s">
        <v>167</v>
      </c>
      <c r="H6" s="1"/>
      <c r="I6" s="1"/>
      <c r="J6" s="1" t="s">
        <v>108</v>
      </c>
    </row>
    <row r="7" spans="2:10" ht="15">
      <c r="B7" s="1"/>
      <c r="C7" s="1"/>
      <c r="D7" s="1"/>
      <c r="E7" s="1"/>
      <c r="F7" s="1"/>
      <c r="G7" s="1"/>
      <c r="H7" s="1"/>
      <c r="I7" s="1"/>
      <c r="J7" s="1" t="s">
        <v>109</v>
      </c>
    </row>
    <row r="8" spans="1:20" ht="15.75">
      <c r="A8" s="1"/>
      <c r="B8" s="36"/>
      <c r="C8" s="36"/>
      <c r="D8" s="36"/>
      <c r="E8" s="36"/>
      <c r="F8" s="36" t="s">
        <v>3</v>
      </c>
      <c r="G8" s="36" t="s">
        <v>4</v>
      </c>
      <c r="H8" s="36" t="s">
        <v>5</v>
      </c>
      <c r="I8" s="36" t="s">
        <v>6</v>
      </c>
      <c r="J8" s="1"/>
      <c r="K8" s="1"/>
      <c r="L8" s="36" t="s">
        <v>103</v>
      </c>
      <c r="M8" s="36"/>
      <c r="N8" s="181"/>
      <c r="O8" s="222" t="s">
        <v>128</v>
      </c>
      <c r="P8" s="36" t="s">
        <v>110</v>
      </c>
      <c r="R8" s="2">
        <f>COUNTA(SP16!D3:E10)/2-COUNT(SP16!AP3:AP10)</f>
        <v>8</v>
      </c>
      <c r="S8" s="194" t="e">
        <f aca="true" t="shared" si="0" ref="S8:S16">IF(AND(R8&lt;=$P$11,R8&gt;0),1,R8/$P$11)*$S$19</f>
        <v>#DIV/0!</v>
      </c>
      <c r="T8" s="2" t="s">
        <v>40</v>
      </c>
    </row>
    <row r="9" spans="1:20" ht="15.75">
      <c r="A9" s="224" t="s">
        <v>104</v>
      </c>
      <c r="B9" s="164">
        <v>1</v>
      </c>
      <c r="C9" s="37">
        <f aca="true" ca="1" t="shared" si="1" ref="C9:C24">IF(OR(F9="",F9="Freilos"),1.01,RAND())</f>
        <v>1.01</v>
      </c>
      <c r="D9" s="38" t="str">
        <f aca="true" t="shared" si="2" ref="D9:D24">IF(C9&lt;=1,F9,"Freilos")</f>
        <v>Freilos</v>
      </c>
      <c r="E9" s="38" t="s">
        <v>163</v>
      </c>
      <c r="F9" s="38"/>
      <c r="G9" s="39"/>
      <c r="H9" s="152"/>
      <c r="I9" s="152"/>
      <c r="J9" s="1" t="s">
        <v>94</v>
      </c>
      <c r="L9" s="153">
        <v>1</v>
      </c>
      <c r="M9" s="177"/>
      <c r="N9" s="6">
        <f>IF(M9="","",IF(COUNTIF(SP16!$AN$3:$AN$33,M9)=1,"",M9&amp;"-"))</f>
      </c>
      <c r="O9" s="223"/>
      <c r="P9" s="193">
        <f>IF(COUNT(SP16!AQ3:AQ33)&gt;0,MIN(SP16!AQ3:AQ33),0)</f>
        <v>0</v>
      </c>
      <c r="R9" s="2">
        <f>COUNTA(SP16!D11:E18)/2-COUNT(SP16!AP11:AP18)</f>
        <v>8</v>
      </c>
      <c r="S9" s="194" t="e">
        <f t="shared" si="0"/>
        <v>#DIV/0!</v>
      </c>
      <c r="T9" s="2" t="s">
        <v>113</v>
      </c>
    </row>
    <row r="10" spans="1:20" ht="15.75">
      <c r="A10" s="225"/>
      <c r="B10" s="165">
        <v>2</v>
      </c>
      <c r="C10" s="37">
        <f ca="1" t="shared" si="1"/>
        <v>1.01</v>
      </c>
      <c r="D10" s="39" t="str">
        <f t="shared" si="2"/>
        <v>Freilos</v>
      </c>
      <c r="E10" s="39" t="s">
        <v>158</v>
      </c>
      <c r="F10" s="39"/>
      <c r="G10" s="39"/>
      <c r="H10" s="152"/>
      <c r="I10" s="152"/>
      <c r="J10" s="1" t="s">
        <v>95</v>
      </c>
      <c r="L10" s="153">
        <v>2</v>
      </c>
      <c r="M10" s="177"/>
      <c r="N10" s="6">
        <f>IF(M10="","",IF(COUNTIF(SP16!$AN$3:$AN$33,M10)=1,"",M10&amp;"-"))</f>
      </c>
      <c r="O10" s="223"/>
      <c r="P10" s="36" t="s">
        <v>111</v>
      </c>
      <c r="R10" s="2">
        <f>COUNTA(SP16!D19:E22)/2-COUNT(SP16!AP19:AP22)</f>
        <v>4</v>
      </c>
      <c r="S10" s="194" t="e">
        <f t="shared" si="0"/>
        <v>#DIV/0!</v>
      </c>
      <c r="T10" s="2" t="s">
        <v>43</v>
      </c>
    </row>
    <row r="11" spans="1:20" ht="15.75">
      <c r="A11" s="225"/>
      <c r="B11" s="165">
        <v>3</v>
      </c>
      <c r="C11" s="37">
        <f ca="1" t="shared" si="1"/>
        <v>1.01</v>
      </c>
      <c r="D11" s="39" t="str">
        <f t="shared" si="2"/>
        <v>Freilos</v>
      </c>
      <c r="E11" s="39" t="s">
        <v>161</v>
      </c>
      <c r="F11" s="39"/>
      <c r="G11" s="39"/>
      <c r="H11" s="152"/>
      <c r="I11" s="152"/>
      <c r="J11" s="1" t="s">
        <v>70</v>
      </c>
      <c r="L11" s="153">
        <v>3</v>
      </c>
      <c r="M11" s="177"/>
      <c r="N11" s="6">
        <f>IF(M11="","",IF(COUNTIF(SP16!$AN$3:$AN$33,M11)=1,"",M11&amp;"-"))</f>
      </c>
      <c r="O11" s="223"/>
      <c r="P11" s="178">
        <f>IF((COUNTA(M9:M16))&gt;0,(COUNTA(M9:M16)),0)</f>
        <v>0</v>
      </c>
      <c r="R11" s="2">
        <f>COUNTA(SP16!D23:E26)/2-COUNT(SP16!AP23:AP26)</f>
        <v>4</v>
      </c>
      <c r="S11" s="194" t="e">
        <f t="shared" si="0"/>
        <v>#DIV/0!</v>
      </c>
      <c r="T11" s="2" t="s">
        <v>114</v>
      </c>
    </row>
    <row r="12" spans="1:20" ht="15.75">
      <c r="A12" s="226"/>
      <c r="B12" s="165">
        <v>4</v>
      </c>
      <c r="C12" s="37">
        <f ca="1" t="shared" si="1"/>
        <v>1.01</v>
      </c>
      <c r="D12" s="39" t="str">
        <f t="shared" si="2"/>
        <v>Freilos</v>
      </c>
      <c r="E12" s="39" t="s">
        <v>159</v>
      </c>
      <c r="F12" s="39"/>
      <c r="G12" s="39"/>
      <c r="H12" s="152"/>
      <c r="I12" s="152"/>
      <c r="J12" s="1" t="s">
        <v>71</v>
      </c>
      <c r="L12" s="153">
        <v>4</v>
      </c>
      <c r="M12" s="177"/>
      <c r="N12" s="6">
        <f>IF(M12="","",IF(COUNTIF(SP16!$AN$3:$AN$33,M12)=1,"",M12&amp;"-"))</f>
      </c>
      <c r="O12" s="223"/>
      <c r="P12" s="36" t="s">
        <v>123</v>
      </c>
      <c r="R12" s="2">
        <f>COUNTA(SP16!D27:E28)/2-COUNT(SP16!AP27:AP28)</f>
        <v>2</v>
      </c>
      <c r="S12" s="194" t="e">
        <f t="shared" si="0"/>
        <v>#DIV/0!</v>
      </c>
      <c r="T12" s="2" t="s">
        <v>45</v>
      </c>
    </row>
    <row r="13" spans="1:20" ht="15.75">
      <c r="A13" s="234" t="s">
        <v>125</v>
      </c>
      <c r="B13" s="3">
        <v>5</v>
      </c>
      <c r="C13" s="37">
        <f ca="1" t="shared" si="1"/>
        <v>1.01</v>
      </c>
      <c r="D13" s="39" t="str">
        <f t="shared" si="2"/>
        <v>Freilos</v>
      </c>
      <c r="E13" s="39" t="s">
        <v>164</v>
      </c>
      <c r="F13" s="39"/>
      <c r="G13" s="39"/>
      <c r="H13" s="152"/>
      <c r="I13" s="152"/>
      <c r="J13" s="1" t="s">
        <v>72</v>
      </c>
      <c r="L13" s="153">
        <v>5</v>
      </c>
      <c r="M13" s="177"/>
      <c r="N13" s="6">
        <f>IF(M13="","",IF(COUNTIF(SP16!$AN$3:$AN$33,M13)=1,"",M13&amp;"-"))</f>
      </c>
      <c r="O13" s="223"/>
      <c r="P13" s="178">
        <f>COUNTA(SP16!D3:E33)/2-COUNT(SP16!AP3:AP33)</f>
        <v>31</v>
      </c>
      <c r="R13" s="2">
        <f>COUNTA(SP16!D29:E30)/2-COUNT(SP16!AP29:AP30)</f>
        <v>2</v>
      </c>
      <c r="S13" s="194" t="e">
        <f t="shared" si="0"/>
        <v>#DIV/0!</v>
      </c>
      <c r="T13" s="2" t="s">
        <v>115</v>
      </c>
    </row>
    <row r="14" spans="1:20" ht="15.75">
      <c r="A14" s="235"/>
      <c r="B14" s="3">
        <v>6</v>
      </c>
      <c r="C14" s="37">
        <f ca="1" t="shared" si="1"/>
        <v>1.01</v>
      </c>
      <c r="D14" s="39" t="str">
        <f t="shared" si="2"/>
        <v>Freilos</v>
      </c>
      <c r="E14" s="39" t="s">
        <v>157</v>
      </c>
      <c r="F14" s="39"/>
      <c r="G14" s="39"/>
      <c r="H14" s="152"/>
      <c r="I14" s="152"/>
      <c r="J14" s="1" t="s">
        <v>73</v>
      </c>
      <c r="L14" s="153">
        <v>6</v>
      </c>
      <c r="M14" s="177"/>
      <c r="N14" s="6">
        <f>IF(M14="","",IF(COUNTIF(SP16!$AN$3:$AN$33,M14)=1,"",M14&amp;"-"))</f>
      </c>
      <c r="O14" s="223"/>
      <c r="P14" s="153" t="s">
        <v>112</v>
      </c>
      <c r="R14" s="2">
        <f>COUNTA(SP16!D31:E31)/2-COUNT(SP16!AP31:AP31)</f>
        <v>1</v>
      </c>
      <c r="S14" s="194" t="e">
        <f t="shared" si="0"/>
        <v>#DIV/0!</v>
      </c>
      <c r="T14" s="2" t="s">
        <v>47</v>
      </c>
    </row>
    <row r="15" spans="1:20" ht="15.75">
      <c r="A15" s="235"/>
      <c r="B15" s="3">
        <v>7</v>
      </c>
      <c r="C15" s="37">
        <f ca="1" t="shared" si="1"/>
        <v>1.01</v>
      </c>
      <c r="D15" s="39" t="str">
        <f t="shared" si="2"/>
        <v>Freilos</v>
      </c>
      <c r="E15" s="39" t="s">
        <v>160</v>
      </c>
      <c r="F15" s="39"/>
      <c r="G15" s="39"/>
      <c r="H15" s="152"/>
      <c r="I15" s="152"/>
      <c r="J15" s="1" t="s">
        <v>74</v>
      </c>
      <c r="L15" s="153">
        <v>7</v>
      </c>
      <c r="M15" s="177"/>
      <c r="N15" s="6">
        <f>IF(M15="","",IF(COUNTIF(SP16!$AN$3:$AN$33,M15)=1,"",M15&amp;"-"))</f>
      </c>
      <c r="O15" s="223"/>
      <c r="P15" s="194">
        <f>MAX(S19:S20)</f>
        <v>0</v>
      </c>
      <c r="R15" s="2">
        <f>COUNTA(SP16!D32:E32)/2-COUNT(SP16!AP32:AP32)</f>
        <v>1</v>
      </c>
      <c r="S15" s="194" t="e">
        <f t="shared" si="0"/>
        <v>#DIV/0!</v>
      </c>
      <c r="T15" s="2" t="s">
        <v>116</v>
      </c>
    </row>
    <row r="16" spans="1:20" ht="15.75">
      <c r="A16" s="235"/>
      <c r="B16" s="3">
        <v>8</v>
      </c>
      <c r="C16" s="37">
        <f ca="1" t="shared" si="1"/>
        <v>1.01</v>
      </c>
      <c r="D16" s="39" t="str">
        <f t="shared" si="2"/>
        <v>Freilos</v>
      </c>
      <c r="E16" s="39" t="s">
        <v>162</v>
      </c>
      <c r="F16" s="39"/>
      <c r="G16" s="39"/>
      <c r="H16" s="152"/>
      <c r="I16" s="152"/>
      <c r="J16" s="1" t="s">
        <v>75</v>
      </c>
      <c r="L16" s="153">
        <v>8</v>
      </c>
      <c r="M16" s="177"/>
      <c r="N16" s="6">
        <f>IF(M16="","",IF(COUNTIF(SP16!$AN$3:$AN$33,M16)=1,"",M16&amp;"-"))</f>
      </c>
      <c r="O16" s="223"/>
      <c r="P16" s="36" t="s">
        <v>118</v>
      </c>
      <c r="R16" s="2">
        <f>COUNTA(SP16!D33:E33)/2-COUNT(SP16!AP33:AP33)</f>
        <v>1</v>
      </c>
      <c r="S16" s="194" t="e">
        <f t="shared" si="0"/>
        <v>#DIV/0!</v>
      </c>
      <c r="T16" s="2" t="s">
        <v>117</v>
      </c>
    </row>
    <row r="17" spans="1:19" ht="15.75">
      <c r="A17" s="235"/>
      <c r="B17" s="3">
        <v>9</v>
      </c>
      <c r="C17" s="37">
        <f ca="1" t="shared" si="1"/>
        <v>1.01</v>
      </c>
      <c r="D17" s="39" t="str">
        <f t="shared" si="2"/>
        <v>Freilos</v>
      </c>
      <c r="E17" s="39" t="s">
        <v>122</v>
      </c>
      <c r="F17" s="39"/>
      <c r="G17" s="39"/>
      <c r="H17" s="152"/>
      <c r="I17" s="152"/>
      <c r="J17" s="1" t="s">
        <v>76</v>
      </c>
      <c r="N17" s="182"/>
      <c r="O17" s="182"/>
      <c r="P17" s="194">
        <f>IF(P11&gt;0,P9+S17,0)</f>
        <v>0</v>
      </c>
      <c r="R17" s="2">
        <f>SUM(R8:R16)</f>
        <v>31</v>
      </c>
      <c r="S17" s="194" t="e">
        <f>IF(SUM(S8:S16)&gt;MAX(SP16!AR32:AR33)-P9,SUM(S8:S16),MAX(SP16!AR32:AR33)-P9)</f>
        <v>#DIV/0!</v>
      </c>
    </row>
    <row r="18" spans="1:13" ht="15.75">
      <c r="A18" s="235"/>
      <c r="B18" s="3">
        <v>10</v>
      </c>
      <c r="C18" s="37">
        <f ca="1" t="shared" si="1"/>
        <v>1.01</v>
      </c>
      <c r="D18" s="39" t="str">
        <f t="shared" si="2"/>
        <v>Freilos</v>
      </c>
      <c r="E18" s="39" t="s">
        <v>122</v>
      </c>
      <c r="F18" s="39"/>
      <c r="G18" s="39"/>
      <c r="H18" s="163"/>
      <c r="I18" s="163"/>
      <c r="J18" s="1" t="s">
        <v>77</v>
      </c>
      <c r="M18" s="166"/>
    </row>
    <row r="19" spans="1:19" ht="15.75">
      <c r="A19" s="235"/>
      <c r="B19" s="3">
        <v>11</v>
      </c>
      <c r="C19" s="37">
        <f ca="1" t="shared" si="1"/>
        <v>1.01</v>
      </c>
      <c r="D19" s="39" t="str">
        <f t="shared" si="2"/>
        <v>Freilos</v>
      </c>
      <c r="E19" s="39" t="s">
        <v>122</v>
      </c>
      <c r="F19" s="39"/>
      <c r="G19" s="39"/>
      <c r="H19" s="163"/>
      <c r="I19" s="163"/>
      <c r="J19" s="1" t="s">
        <v>78</v>
      </c>
      <c r="S19" s="195">
        <f>IF(COUNTIF(SP16!AS3:AS33,"&gt;0")&gt;0,SUM(SP16!AS3:AS33)/COUNTIF(SP16!AS3:AS33,"&gt;0"),0)</f>
        <v>0</v>
      </c>
    </row>
    <row r="20" spans="1:19" ht="15.75">
      <c r="A20" s="235"/>
      <c r="B20" s="3">
        <v>12</v>
      </c>
      <c r="C20" s="37">
        <f ca="1" t="shared" si="1"/>
        <v>1.01</v>
      </c>
      <c r="D20" s="39" t="str">
        <f t="shared" si="2"/>
        <v>Freilos</v>
      </c>
      <c r="E20" s="39" t="s">
        <v>122</v>
      </c>
      <c r="F20" s="39"/>
      <c r="G20" s="39"/>
      <c r="H20" s="152"/>
      <c r="I20" s="152"/>
      <c r="J20" s="1" t="s">
        <v>79</v>
      </c>
      <c r="S20" s="195">
        <f>IF(SUM(SP16!F33:G33)&gt;0,(P17-P9)/P13,(P17-P9)/(P13-1))</f>
        <v>0</v>
      </c>
    </row>
    <row r="21" spans="1:10" ht="15">
      <c r="A21" s="235"/>
      <c r="B21" s="3">
        <v>13</v>
      </c>
      <c r="C21" s="37">
        <f ca="1" t="shared" si="1"/>
        <v>1.01</v>
      </c>
      <c r="D21" s="39" t="str">
        <f t="shared" si="2"/>
        <v>Freilos</v>
      </c>
      <c r="E21" s="39" t="s">
        <v>122</v>
      </c>
      <c r="F21" s="39"/>
      <c r="G21" s="39"/>
      <c r="H21" s="152"/>
      <c r="I21" s="152"/>
      <c r="J21" s="1" t="s">
        <v>80</v>
      </c>
    </row>
    <row r="22" spans="1:10" ht="15">
      <c r="A22" s="235"/>
      <c r="B22" s="3">
        <v>14</v>
      </c>
      <c r="C22" s="37">
        <f ca="1" t="shared" si="1"/>
        <v>1.01</v>
      </c>
      <c r="D22" s="39" t="str">
        <f t="shared" si="2"/>
        <v>Freilos</v>
      </c>
      <c r="E22" s="39" t="s">
        <v>122</v>
      </c>
      <c r="F22" s="39"/>
      <c r="G22" s="39"/>
      <c r="H22" s="163"/>
      <c r="I22" s="163"/>
      <c r="J22" s="1" t="s">
        <v>81</v>
      </c>
    </row>
    <row r="23" spans="1:10" ht="15">
      <c r="A23" s="235"/>
      <c r="B23" s="3">
        <v>15</v>
      </c>
      <c r="C23" s="37">
        <f ca="1" t="shared" si="1"/>
        <v>1.01</v>
      </c>
      <c r="D23" s="39" t="str">
        <f t="shared" si="2"/>
        <v>Freilos</v>
      </c>
      <c r="E23" s="39" t="s">
        <v>122</v>
      </c>
      <c r="F23" s="39"/>
      <c r="G23" s="39"/>
      <c r="H23" s="163"/>
      <c r="I23" s="163"/>
      <c r="J23" s="1" t="s">
        <v>82</v>
      </c>
    </row>
    <row r="24" spans="1:10" ht="15.75" thickBot="1">
      <c r="A24" s="235"/>
      <c r="B24" s="4">
        <v>16</v>
      </c>
      <c r="C24" s="37">
        <f ca="1" t="shared" si="1"/>
        <v>1.01</v>
      </c>
      <c r="D24" s="39" t="str">
        <f t="shared" si="2"/>
        <v>Freilos</v>
      </c>
      <c r="E24" s="39" t="s">
        <v>122</v>
      </c>
      <c r="F24" s="39"/>
      <c r="G24" s="39"/>
      <c r="H24" s="152"/>
      <c r="I24" s="152"/>
      <c r="J24" s="1" t="s">
        <v>83</v>
      </c>
    </row>
    <row r="25" spans="1:13" ht="15.7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208"/>
      <c r="L25" s="208"/>
      <c r="M25" s="208"/>
    </row>
    <row r="26" spans="1:16" ht="15">
      <c r="A26" s="1"/>
      <c r="B26" s="1"/>
      <c r="C26" s="1"/>
      <c r="D26" s="1"/>
      <c r="E26" s="1"/>
      <c r="F26" s="31" t="s">
        <v>57</v>
      </c>
      <c r="G26" s="229"/>
      <c r="H26" s="230"/>
      <c r="I26" s="1" t="s">
        <v>61</v>
      </c>
      <c r="J26" s="1"/>
      <c r="K26" s="208"/>
      <c r="L26" s="208"/>
      <c r="M26" s="208"/>
      <c r="P26" s="179"/>
    </row>
    <row r="27" spans="1:13" ht="15">
      <c r="A27" s="1"/>
      <c r="B27" s="1"/>
      <c r="C27" s="1"/>
      <c r="D27" s="1"/>
      <c r="E27" s="1"/>
      <c r="F27" s="34" t="s">
        <v>62</v>
      </c>
      <c r="G27" s="231"/>
      <c r="H27" s="232"/>
      <c r="I27" s="1"/>
      <c r="J27" s="1"/>
      <c r="K27" s="208"/>
      <c r="L27" s="208"/>
      <c r="M27" s="208"/>
    </row>
    <row r="28" spans="1:13" ht="15">
      <c r="A28" s="208"/>
      <c r="B28" s="208"/>
      <c r="C28" s="208"/>
      <c r="D28" s="208"/>
      <c r="E28" s="208"/>
      <c r="F28" s="32" t="s">
        <v>58</v>
      </c>
      <c r="G28" s="233"/>
      <c r="H28" s="232"/>
      <c r="I28" s="208"/>
      <c r="J28" s="208"/>
      <c r="K28" s="208"/>
      <c r="L28" s="208"/>
      <c r="M28" s="208"/>
    </row>
    <row r="29" spans="1:13" ht="15">
      <c r="A29" s="208"/>
      <c r="B29" s="208"/>
      <c r="C29" s="208"/>
      <c r="D29" s="208"/>
      <c r="E29" s="208"/>
      <c r="F29" s="32" t="s">
        <v>59</v>
      </c>
      <c r="G29" s="231"/>
      <c r="H29" s="232"/>
      <c r="I29" s="208"/>
      <c r="J29" s="208"/>
      <c r="K29" s="208"/>
      <c r="L29" s="208"/>
      <c r="M29" s="208"/>
    </row>
    <row r="30" spans="1:13" ht="15.75" thickBot="1">
      <c r="A30" s="208"/>
      <c r="B30" s="208"/>
      <c r="C30" s="208"/>
      <c r="D30" s="208"/>
      <c r="E30" s="208"/>
      <c r="F30" s="33" t="s">
        <v>60</v>
      </c>
      <c r="G30" s="227"/>
      <c r="H30" s="228"/>
      <c r="I30" s="208"/>
      <c r="J30" s="208"/>
      <c r="K30" s="208"/>
      <c r="L30" s="208"/>
      <c r="M30" s="208"/>
    </row>
    <row r="31" spans="1:13" ht="12.75">
      <c r="A31" s="208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</row>
    <row r="32" spans="1:13" ht="12.75">
      <c r="A32" s="199"/>
      <c r="B32" s="199"/>
      <c r="C32" s="199"/>
      <c r="D32" s="199"/>
      <c r="E32" s="199"/>
      <c r="F32" s="208"/>
      <c r="G32" s="208"/>
      <c r="H32" s="208"/>
      <c r="I32" s="208"/>
      <c r="J32" s="208"/>
      <c r="K32" s="208"/>
      <c r="L32" s="208"/>
      <c r="M32" s="208"/>
    </row>
    <row r="33" spans="1:13" ht="12.75">
      <c r="A33" s="199"/>
      <c r="B33" s="199"/>
      <c r="C33" s="199"/>
      <c r="D33" s="199"/>
      <c r="E33" s="199"/>
      <c r="F33" s="208"/>
      <c r="I33" s="208"/>
      <c r="J33" s="208"/>
      <c r="K33" s="208"/>
      <c r="L33" s="208"/>
      <c r="M33" s="208"/>
    </row>
    <row r="34" spans="1:13" ht="12.75">
      <c r="A34" s="199"/>
      <c r="B34" s="199"/>
      <c r="C34" s="199"/>
      <c r="D34" s="199"/>
      <c r="E34" s="199"/>
      <c r="F34" s="208"/>
      <c r="G34" s="208"/>
      <c r="H34" s="208"/>
      <c r="I34" s="208"/>
      <c r="J34" s="208"/>
      <c r="K34" s="208"/>
      <c r="L34" s="208"/>
      <c r="M34" s="208"/>
    </row>
    <row r="35" spans="1:13" ht="12.75">
      <c r="A35" s="199"/>
      <c r="B35" s="199"/>
      <c r="C35" s="199"/>
      <c r="D35" s="199"/>
      <c r="E35" s="199"/>
      <c r="F35" s="208"/>
      <c r="G35" s="208"/>
      <c r="H35" s="208"/>
      <c r="I35" s="208"/>
      <c r="J35" s="208"/>
      <c r="K35" s="208"/>
      <c r="L35" s="208"/>
      <c r="M35" s="208"/>
    </row>
    <row r="36" spans="1:13" ht="12.75">
      <c r="A36" s="199">
        <f>MAX(A37:A52)</f>
        <v>0</v>
      </c>
      <c r="B36" s="199">
        <f>MAX(B37:B44)</f>
        <v>0</v>
      </c>
      <c r="C36" s="199"/>
      <c r="D36" s="199"/>
      <c r="E36" s="199"/>
      <c r="F36" s="208"/>
      <c r="G36" s="208"/>
      <c r="H36" s="208"/>
      <c r="I36" s="208"/>
      <c r="J36" s="208"/>
      <c r="K36" s="208"/>
      <c r="L36" s="208"/>
      <c r="M36" s="208"/>
    </row>
    <row r="37" spans="1:13" ht="12.75">
      <c r="A37" s="199">
        <f>IF(F9="",0,COUNTIF(F$9:F$24,F9))</f>
        <v>0</v>
      </c>
      <c r="B37" s="199">
        <f>IF(M9="",0,COUNTIF(M$9:M$16,M9))</f>
        <v>0</v>
      </c>
      <c r="C37" s="199"/>
      <c r="D37" s="199"/>
      <c r="E37" s="199"/>
      <c r="F37" s="208"/>
      <c r="G37" s="208"/>
      <c r="H37" s="208"/>
      <c r="I37" s="208"/>
      <c r="J37" s="208"/>
      <c r="K37" s="208"/>
      <c r="L37" s="208"/>
      <c r="M37" s="208"/>
    </row>
    <row r="38" spans="1:13" ht="12.75">
      <c r="A38" s="199">
        <f aca="true" t="shared" si="3" ref="A38:A52">IF(OR(F10="",F10="Freilos"),0,COUNTIF(F$9:F$24,F10))</f>
        <v>0</v>
      </c>
      <c r="B38" s="199">
        <f aca="true" t="shared" si="4" ref="B38:B44">IF(M10="",0,COUNTIF(M$9:M$16,M10))</f>
        <v>0</v>
      </c>
      <c r="C38" s="199"/>
      <c r="D38" s="199"/>
      <c r="E38" s="199"/>
      <c r="F38" s="208"/>
      <c r="G38" s="208"/>
      <c r="H38" s="208"/>
      <c r="I38" s="208"/>
      <c r="J38" s="208"/>
      <c r="K38" s="208"/>
      <c r="L38" s="208"/>
      <c r="M38" s="208"/>
    </row>
    <row r="39" spans="1:13" ht="12.75">
      <c r="A39" s="199">
        <f t="shared" si="3"/>
        <v>0</v>
      </c>
      <c r="B39" s="199">
        <f t="shared" si="4"/>
        <v>0</v>
      </c>
      <c r="C39" s="199"/>
      <c r="D39" s="199"/>
      <c r="E39" s="199"/>
      <c r="F39" s="208"/>
      <c r="G39" s="208"/>
      <c r="H39" s="208"/>
      <c r="I39" s="208"/>
      <c r="J39" s="208"/>
      <c r="K39" s="208"/>
      <c r="L39" s="208"/>
      <c r="M39" s="208"/>
    </row>
    <row r="40" spans="1:13" ht="12.75">
      <c r="A40" s="199">
        <f t="shared" si="3"/>
        <v>0</v>
      </c>
      <c r="B40" s="199">
        <f t="shared" si="4"/>
        <v>0</v>
      </c>
      <c r="C40" s="199"/>
      <c r="D40" s="199"/>
      <c r="E40" s="199"/>
      <c r="F40" s="208"/>
      <c r="G40" s="208"/>
      <c r="H40" s="208"/>
      <c r="I40" s="208"/>
      <c r="J40" s="208"/>
      <c r="K40" s="208"/>
      <c r="L40" s="208"/>
      <c r="M40" s="208"/>
    </row>
    <row r="41" spans="1:13" ht="12.75">
      <c r="A41" s="199">
        <f t="shared" si="3"/>
        <v>0</v>
      </c>
      <c r="B41" s="199">
        <f t="shared" si="4"/>
        <v>0</v>
      </c>
      <c r="C41" s="199"/>
      <c r="D41" s="199"/>
      <c r="E41" s="199"/>
      <c r="F41" s="208"/>
      <c r="G41" s="208"/>
      <c r="H41" s="208"/>
      <c r="I41" s="208"/>
      <c r="J41" s="208"/>
      <c r="K41" s="208"/>
      <c r="L41" s="208"/>
      <c r="M41" s="208"/>
    </row>
    <row r="42" spans="1:13" ht="12.75">
      <c r="A42" s="199">
        <f t="shared" si="3"/>
        <v>0</v>
      </c>
      <c r="B42" s="199">
        <f t="shared" si="4"/>
        <v>0</v>
      </c>
      <c r="C42" s="199"/>
      <c r="D42" s="199"/>
      <c r="E42" s="199"/>
      <c r="F42" s="208"/>
      <c r="G42" s="208"/>
      <c r="H42" s="208"/>
      <c r="I42" s="208"/>
      <c r="J42" s="208"/>
      <c r="K42" s="208"/>
      <c r="L42" s="208"/>
      <c r="M42" s="208"/>
    </row>
    <row r="43" spans="1:13" ht="12.75">
      <c r="A43" s="199">
        <f t="shared" si="3"/>
        <v>0</v>
      </c>
      <c r="B43" s="199">
        <f t="shared" si="4"/>
        <v>0</v>
      </c>
      <c r="C43" s="199"/>
      <c r="D43" s="199"/>
      <c r="E43" s="199"/>
      <c r="F43" s="208"/>
      <c r="G43" s="208"/>
      <c r="H43" s="208"/>
      <c r="I43" s="208"/>
      <c r="J43" s="208"/>
      <c r="K43" s="208"/>
      <c r="L43" s="208"/>
      <c r="M43" s="208"/>
    </row>
    <row r="44" spans="1:13" ht="12.75">
      <c r="A44" s="199">
        <f t="shared" si="3"/>
        <v>0</v>
      </c>
      <c r="B44" s="199">
        <f t="shared" si="4"/>
        <v>0</v>
      </c>
      <c r="C44" s="199"/>
      <c r="D44" s="199"/>
      <c r="E44" s="199"/>
      <c r="F44" s="208"/>
      <c r="G44" s="208"/>
      <c r="H44" s="208"/>
      <c r="I44" s="208"/>
      <c r="J44" s="208"/>
      <c r="K44" s="208"/>
      <c r="L44" s="208"/>
      <c r="M44" s="208"/>
    </row>
    <row r="45" spans="1:13" ht="12.75">
      <c r="A45" s="199">
        <f t="shared" si="3"/>
        <v>0</v>
      </c>
      <c r="B45" s="199"/>
      <c r="C45" s="199"/>
      <c r="D45" s="199"/>
      <c r="E45" s="199"/>
      <c r="F45" s="208"/>
      <c r="G45" s="208"/>
      <c r="H45" s="208"/>
      <c r="I45" s="208"/>
      <c r="J45" s="208"/>
      <c r="K45" s="208"/>
      <c r="L45" s="208"/>
      <c r="M45" s="208"/>
    </row>
    <row r="46" spans="1:13" ht="12.75">
      <c r="A46" s="199">
        <f t="shared" si="3"/>
        <v>0</v>
      </c>
      <c r="B46" s="199"/>
      <c r="C46" s="199"/>
      <c r="D46" s="199"/>
      <c r="E46" s="199"/>
      <c r="F46" s="208"/>
      <c r="G46" s="208"/>
      <c r="H46" s="208"/>
      <c r="I46" s="208"/>
      <c r="J46" s="208"/>
      <c r="K46" s="208"/>
      <c r="L46" s="208"/>
      <c r="M46" s="208"/>
    </row>
    <row r="47" spans="1:13" ht="12.75">
      <c r="A47" s="199">
        <f t="shared" si="3"/>
        <v>0</v>
      </c>
      <c r="B47" s="199"/>
      <c r="C47" s="199"/>
      <c r="D47" s="199"/>
      <c r="E47" s="199"/>
      <c r="F47" s="208"/>
      <c r="G47" s="208"/>
      <c r="H47" s="208"/>
      <c r="I47" s="208"/>
      <c r="J47" s="208"/>
      <c r="K47" s="208"/>
      <c r="L47" s="208"/>
      <c r="M47" s="208"/>
    </row>
    <row r="48" spans="1:13" ht="12.75">
      <c r="A48" s="199">
        <f t="shared" si="3"/>
        <v>0</v>
      </c>
      <c r="B48" s="199"/>
      <c r="C48" s="199"/>
      <c r="D48" s="199"/>
      <c r="E48" s="199"/>
      <c r="F48" s="208"/>
      <c r="G48" s="208"/>
      <c r="H48" s="208"/>
      <c r="I48" s="208"/>
      <c r="J48" s="208"/>
      <c r="K48" s="208"/>
      <c r="L48" s="208"/>
      <c r="M48" s="208"/>
    </row>
    <row r="49" spans="1:13" ht="12.75">
      <c r="A49" s="199">
        <f t="shared" si="3"/>
        <v>0</v>
      </c>
      <c r="B49" s="199"/>
      <c r="C49" s="199"/>
      <c r="D49" s="199"/>
      <c r="E49" s="199"/>
      <c r="F49" s="208"/>
      <c r="G49" s="208"/>
      <c r="H49" s="208"/>
      <c r="I49" s="208"/>
      <c r="J49" s="208"/>
      <c r="K49" s="208"/>
      <c r="L49" s="208"/>
      <c r="M49" s="208"/>
    </row>
    <row r="50" spans="1:13" ht="12.75">
      <c r="A50" s="199">
        <f t="shared" si="3"/>
        <v>0</v>
      </c>
      <c r="B50" s="199"/>
      <c r="C50" s="199"/>
      <c r="D50" s="199"/>
      <c r="E50" s="199"/>
      <c r="F50" s="208"/>
      <c r="G50" s="208"/>
      <c r="H50" s="208"/>
      <c r="I50" s="208"/>
      <c r="J50" s="208"/>
      <c r="K50" s="208"/>
      <c r="L50" s="208"/>
      <c r="M50" s="208"/>
    </row>
    <row r="51" spans="1:13" ht="12.75">
      <c r="A51" s="199">
        <f t="shared" si="3"/>
        <v>0</v>
      </c>
      <c r="B51" s="199"/>
      <c r="C51" s="199"/>
      <c r="D51" s="199"/>
      <c r="E51" s="199"/>
      <c r="F51" s="208"/>
      <c r="G51" s="208"/>
      <c r="H51" s="208"/>
      <c r="I51" s="208"/>
      <c r="J51" s="208"/>
      <c r="K51" s="208"/>
      <c r="L51" s="208"/>
      <c r="M51" s="208"/>
    </row>
    <row r="52" spans="1:13" ht="12.75">
      <c r="A52" s="199">
        <f t="shared" si="3"/>
        <v>0</v>
      </c>
      <c r="B52" s="199"/>
      <c r="C52" s="199"/>
      <c r="D52" s="199"/>
      <c r="E52" s="199"/>
      <c r="F52" s="208"/>
      <c r="G52" s="208"/>
      <c r="H52" s="208"/>
      <c r="I52" s="208"/>
      <c r="J52" s="208"/>
      <c r="K52" s="208"/>
      <c r="L52" s="208"/>
      <c r="M52" s="208"/>
    </row>
    <row r="53" spans="1:13" ht="12.75">
      <c r="A53" s="199"/>
      <c r="B53" s="199"/>
      <c r="C53" s="199"/>
      <c r="D53" s="199"/>
      <c r="E53" s="199"/>
      <c r="F53" s="208"/>
      <c r="G53" s="208"/>
      <c r="H53" s="208"/>
      <c r="I53" s="208"/>
      <c r="J53" s="208"/>
      <c r="K53" s="208"/>
      <c r="L53" s="208"/>
      <c r="M53" s="208"/>
    </row>
    <row r="54" spans="1:13" ht="12.75">
      <c r="A54" s="199"/>
      <c r="B54" s="199"/>
      <c r="C54" s="199"/>
      <c r="D54" s="199"/>
      <c r="E54" s="199"/>
      <c r="F54" s="208"/>
      <c r="G54" s="208"/>
      <c r="H54" s="208"/>
      <c r="I54" s="208"/>
      <c r="J54" s="208"/>
      <c r="K54" s="208"/>
      <c r="L54" s="208"/>
      <c r="M54" s="208"/>
    </row>
    <row r="55" spans="1:13" ht="12.75">
      <c r="A55" s="199"/>
      <c r="B55" s="199"/>
      <c r="C55" s="199"/>
      <c r="D55" s="199"/>
      <c r="E55" s="199"/>
      <c r="F55" s="199"/>
      <c r="G55" s="208"/>
      <c r="H55" s="208"/>
      <c r="I55" s="208"/>
      <c r="J55" s="208"/>
      <c r="K55" s="208"/>
      <c r="L55" s="208"/>
      <c r="M55" s="208"/>
    </row>
    <row r="56" spans="1:13" ht="12.75">
      <c r="A56" s="199"/>
      <c r="B56" s="199"/>
      <c r="C56" s="199"/>
      <c r="D56" s="199"/>
      <c r="E56" s="199"/>
      <c r="F56" s="199"/>
      <c r="G56" s="208"/>
      <c r="H56" s="208"/>
      <c r="I56" s="208"/>
      <c r="J56" s="208"/>
      <c r="K56" s="208"/>
      <c r="L56" s="208"/>
      <c r="M56" s="208"/>
    </row>
    <row r="57" spans="1:13" ht="12.75">
      <c r="A57" s="199"/>
      <c r="B57" s="199"/>
      <c r="C57" s="199"/>
      <c r="D57" s="199"/>
      <c r="E57" s="199"/>
      <c r="F57" s="199"/>
      <c r="G57" s="208"/>
      <c r="H57" s="208"/>
      <c r="I57" s="208"/>
      <c r="J57" s="208"/>
      <c r="K57" s="208"/>
      <c r="L57" s="208"/>
      <c r="M57" s="208"/>
    </row>
    <row r="58" spans="1:13" ht="12.75">
      <c r="A58" s="199"/>
      <c r="B58" s="199"/>
      <c r="C58" s="199"/>
      <c r="D58" s="199"/>
      <c r="E58" s="199"/>
      <c r="F58" s="199"/>
      <c r="G58" s="208"/>
      <c r="H58" s="208"/>
      <c r="I58" s="208"/>
      <c r="J58" s="208"/>
      <c r="K58" s="208"/>
      <c r="L58" s="208"/>
      <c r="M58" s="208"/>
    </row>
    <row r="59" spans="1:13" ht="12.75">
      <c r="A59" s="199"/>
      <c r="B59" s="199"/>
      <c r="C59" s="199"/>
      <c r="D59" s="199"/>
      <c r="E59" s="199"/>
      <c r="F59" s="199"/>
      <c r="G59" s="208"/>
      <c r="H59" s="208"/>
      <c r="I59" s="208"/>
      <c r="J59" s="208"/>
      <c r="K59" s="208"/>
      <c r="L59" s="208"/>
      <c r="M59" s="208"/>
    </row>
    <row r="60" spans="1:13" ht="12.75">
      <c r="A60" s="199"/>
      <c r="B60" s="199"/>
      <c r="C60" s="199"/>
      <c r="D60" s="199"/>
      <c r="E60" s="199"/>
      <c r="F60" s="199"/>
      <c r="G60" s="208"/>
      <c r="H60" s="208"/>
      <c r="I60" s="208"/>
      <c r="J60" s="208"/>
      <c r="K60" s="208"/>
      <c r="L60" s="208"/>
      <c r="M60" s="208"/>
    </row>
    <row r="61" spans="1:13" ht="12.75">
      <c r="A61" s="199"/>
      <c r="B61" s="199"/>
      <c r="C61" s="199"/>
      <c r="D61" s="199"/>
      <c r="E61" s="199"/>
      <c r="F61" s="199"/>
      <c r="G61" s="208"/>
      <c r="H61" s="208"/>
      <c r="I61" s="208"/>
      <c r="J61" s="208"/>
      <c r="K61" s="208"/>
      <c r="L61" s="208"/>
      <c r="M61" s="208"/>
    </row>
    <row r="62" spans="1:13" ht="12.75">
      <c r="A62" s="199"/>
      <c r="B62" s="199"/>
      <c r="C62" s="199"/>
      <c r="D62" s="199"/>
      <c r="E62" s="199"/>
      <c r="F62" s="199"/>
      <c r="G62" s="208"/>
      <c r="H62" s="208"/>
      <c r="I62" s="208"/>
      <c r="J62" s="208"/>
      <c r="K62" s="208"/>
      <c r="L62" s="208"/>
      <c r="M62" s="208"/>
    </row>
    <row r="63" spans="1:13" ht="12.75">
      <c r="A63" s="199"/>
      <c r="B63" s="199"/>
      <c r="C63" s="199"/>
      <c r="D63" s="199"/>
      <c r="E63" s="199"/>
      <c r="F63" s="199"/>
      <c r="G63" s="208"/>
      <c r="H63" s="208"/>
      <c r="I63" s="208"/>
      <c r="J63" s="208"/>
      <c r="K63" s="208"/>
      <c r="L63" s="208"/>
      <c r="M63" s="208"/>
    </row>
    <row r="64" spans="1:13" ht="12.75">
      <c r="A64" s="199"/>
      <c r="B64" s="199"/>
      <c r="C64" s="199"/>
      <c r="D64" s="199"/>
      <c r="E64" s="199"/>
      <c r="F64" s="199"/>
      <c r="G64" s="208"/>
      <c r="H64" s="208"/>
      <c r="I64" s="208"/>
      <c r="J64" s="208"/>
      <c r="K64" s="208"/>
      <c r="L64" s="208"/>
      <c r="M64" s="208"/>
    </row>
    <row r="65" spans="1:13" ht="12.75">
      <c r="A65" s="199"/>
      <c r="B65" s="199"/>
      <c r="C65" s="199"/>
      <c r="D65" s="199"/>
      <c r="E65" s="199"/>
      <c r="F65" s="199"/>
      <c r="G65" s="208"/>
      <c r="H65" s="208"/>
      <c r="I65" s="208"/>
      <c r="J65" s="208"/>
      <c r="K65" s="208"/>
      <c r="L65" s="208"/>
      <c r="M65" s="208"/>
    </row>
    <row r="66" spans="1:13" ht="12.75">
      <c r="A66" s="199"/>
      <c r="B66" s="199"/>
      <c r="C66" s="199"/>
      <c r="D66" s="199"/>
      <c r="E66" s="199"/>
      <c r="F66" s="199"/>
      <c r="G66" s="208"/>
      <c r="H66" s="208"/>
      <c r="I66" s="208"/>
      <c r="J66" s="208"/>
      <c r="K66" s="208"/>
      <c r="L66" s="208"/>
      <c r="M66" s="208"/>
    </row>
    <row r="67" spans="1:13" ht="12.75">
      <c r="A67" s="208"/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</row>
    <row r="68" spans="1:13" ht="12.75">
      <c r="A68" s="208"/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</row>
  </sheetData>
  <sheetProtection/>
  <mergeCells count="8">
    <mergeCell ref="O8:O16"/>
    <mergeCell ref="A9:A12"/>
    <mergeCell ref="G30:H30"/>
    <mergeCell ref="G26:H26"/>
    <mergeCell ref="G27:H27"/>
    <mergeCell ref="G28:H28"/>
    <mergeCell ref="G29:H29"/>
    <mergeCell ref="A13:A24"/>
  </mergeCells>
  <conditionalFormatting sqref="A13:A24">
    <cfRule type="expression" priority="1" dxfId="104" stopIfTrue="1">
      <formula>A36=2</formula>
    </cfRule>
  </conditionalFormatting>
  <conditionalFormatting sqref="O8:O16">
    <cfRule type="expression" priority="2" dxfId="102" stopIfTrue="1">
      <formula>$B$36&gt;1</formula>
    </cfRule>
  </conditionalFormatting>
  <printOptions/>
  <pageMargins left="0.787401575" right="0.787401575" top="0.984251969" bottom="0.984251969" header="0.4921259845" footer="0.4921259845"/>
  <pageSetup horizontalDpi="300" verticalDpi="3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2:BV46"/>
  <sheetViews>
    <sheetView showGridLines="0" showOutlineSymbols="0" zoomScalePageLayoutView="0" workbookViewId="0" topLeftCell="A1">
      <pane ySplit="2" topLeftCell="A3" activePane="bottomLeft" state="frozen"/>
      <selection pane="topLeft" activeCell="A1" sqref="A1"/>
      <selection pane="bottomLeft" activeCell="F3" sqref="F3"/>
    </sheetView>
  </sheetViews>
  <sheetFormatPr defaultColWidth="11.421875" defaultRowHeight="12.75"/>
  <cols>
    <col min="1" max="1" width="2.421875" style="49" customWidth="1"/>
    <col min="2" max="2" width="3.8515625" style="49" bestFit="1" customWidth="1"/>
    <col min="3" max="3" width="2.57421875" style="49" bestFit="1" customWidth="1"/>
    <col min="4" max="5" width="18.8515625" style="49" bestFit="1" customWidth="1"/>
    <col min="6" max="7" width="4.28125" style="50" customWidth="1"/>
    <col min="8" max="9" width="4.7109375" style="50" customWidth="1"/>
    <col min="10" max="11" width="4.57421875" style="50" customWidth="1"/>
    <col min="12" max="12" width="4.28125" style="183" bestFit="1" customWidth="1"/>
    <col min="13" max="13" width="22.140625" style="140" customWidth="1"/>
    <col min="14" max="15" width="4.421875" style="49" hidden="1" customWidth="1"/>
    <col min="16" max="17" width="4.28125" style="49" hidden="1" customWidth="1"/>
    <col min="18" max="19" width="4.421875" style="49" hidden="1" customWidth="1"/>
    <col min="20" max="21" width="3.28125" style="49" hidden="1" customWidth="1"/>
    <col min="22" max="22" width="3.00390625" style="49" hidden="1" customWidth="1"/>
    <col min="23" max="23" width="18.8515625" style="49" hidden="1" customWidth="1"/>
    <col min="24" max="24" width="3.8515625" style="49" hidden="1" customWidth="1"/>
    <col min="25" max="26" width="2.8515625" style="49" hidden="1" customWidth="1"/>
    <col min="27" max="27" width="3.57421875" style="49" hidden="1" customWidth="1"/>
    <col min="28" max="28" width="4.28125" style="49" hidden="1" customWidth="1"/>
    <col min="29" max="29" width="4.7109375" style="49" hidden="1" customWidth="1"/>
    <col min="30" max="30" width="4.57421875" style="49" hidden="1" customWidth="1"/>
    <col min="31" max="31" width="5.00390625" style="49" hidden="1" customWidth="1"/>
    <col min="32" max="32" width="3.7109375" style="49" hidden="1" customWidth="1"/>
    <col min="33" max="33" width="6.57421875" style="49" hidden="1" customWidth="1"/>
    <col min="34" max="34" width="5.57421875" style="49" hidden="1" customWidth="1"/>
    <col min="35" max="35" width="6.28125" style="49" hidden="1" customWidth="1"/>
    <col min="36" max="36" width="3.421875" style="49" hidden="1" customWidth="1"/>
    <col min="37" max="37" width="2.00390625" style="49" hidden="1" customWidth="1"/>
    <col min="38" max="38" width="1.7109375" style="49" hidden="1" customWidth="1"/>
    <col min="39" max="39" width="8.57421875" style="49" hidden="1" customWidth="1"/>
    <col min="40" max="40" width="3.421875" style="134" hidden="1" customWidth="1"/>
    <col min="41" max="41" width="7.57421875" style="49" customWidth="1"/>
    <col min="42" max="42" width="5.57421875" style="134" hidden="1" customWidth="1"/>
    <col min="43" max="43" width="6.7109375" style="187" bestFit="1" customWidth="1"/>
    <col min="44" max="44" width="7.421875" style="187" customWidth="1"/>
    <col min="45" max="45" width="7.00390625" style="188" customWidth="1"/>
    <col min="46" max="16384" width="11.421875" style="49" customWidth="1"/>
  </cols>
  <sheetData>
    <row r="1" ht="9.75" hidden="1" thickBot="1"/>
    <row r="2" spans="3:45" ht="11.25" thickBot="1">
      <c r="C2" s="51"/>
      <c r="D2" s="52" t="s">
        <v>13</v>
      </c>
      <c r="E2" s="53" t="s">
        <v>14</v>
      </c>
      <c r="F2" s="141" t="s">
        <v>107</v>
      </c>
      <c r="G2" s="142" t="s">
        <v>15</v>
      </c>
      <c r="H2" s="143" t="s">
        <v>16</v>
      </c>
      <c r="I2" s="143" t="s">
        <v>17</v>
      </c>
      <c r="J2" s="143" t="s">
        <v>18</v>
      </c>
      <c r="K2" s="144" t="s">
        <v>19</v>
      </c>
      <c r="L2" s="200" t="s">
        <v>52</v>
      </c>
      <c r="M2" s="155" t="str">
        <f>"Freie Tische"&amp;" -"&amp;Auslosung_Turnierdaten!N9&amp;Auslosung_Turnierdaten!N10&amp;Auslosung_Turnierdaten!N11&amp;Auslosung_Turnierdaten!N12&amp;Auslosung_Turnierdaten!N13&amp;Auslosung_Turnierdaten!N14&amp;Auslosung_Turnierdaten!N15&amp;Auslosung_Turnierdaten!N16</f>
        <v>Freie Tische -</v>
      </c>
      <c r="N2" s="49" t="s">
        <v>20</v>
      </c>
      <c r="O2" s="49" t="s">
        <v>20</v>
      </c>
      <c r="P2" s="49" t="s">
        <v>21</v>
      </c>
      <c r="Q2" s="49" t="s">
        <v>22</v>
      </c>
      <c r="R2" s="49" t="s">
        <v>23</v>
      </c>
      <c r="S2" s="49" t="s">
        <v>24</v>
      </c>
      <c r="T2" s="49" t="s">
        <v>25</v>
      </c>
      <c r="U2" s="49" t="s">
        <v>26</v>
      </c>
      <c r="V2" s="49" t="s">
        <v>27</v>
      </c>
      <c r="W2" s="49" t="s">
        <v>28</v>
      </c>
      <c r="X2" s="49" t="s">
        <v>29</v>
      </c>
      <c r="Y2" s="49" t="s">
        <v>30</v>
      </c>
      <c r="Z2" s="49" t="s">
        <v>11</v>
      </c>
      <c r="AA2" s="49" t="s">
        <v>12</v>
      </c>
      <c r="AB2" s="49" t="s">
        <v>31</v>
      </c>
      <c r="AC2" s="49" t="s">
        <v>32</v>
      </c>
      <c r="AD2" s="49" t="s">
        <v>33</v>
      </c>
      <c r="AE2" s="49" t="s">
        <v>34</v>
      </c>
      <c r="AF2" s="49" t="s">
        <v>35</v>
      </c>
      <c r="AG2" s="49" t="s">
        <v>36</v>
      </c>
      <c r="AH2" s="49" t="s">
        <v>37</v>
      </c>
      <c r="AI2" s="49" t="s">
        <v>38</v>
      </c>
      <c r="AJ2" s="49" t="s">
        <v>124</v>
      </c>
      <c r="AO2" s="145"/>
      <c r="AQ2" s="189" t="s">
        <v>120</v>
      </c>
      <c r="AR2" s="189" t="s">
        <v>119</v>
      </c>
      <c r="AS2" s="189" t="s">
        <v>121</v>
      </c>
    </row>
    <row r="3" spans="2:74" ht="9" customHeight="1" thickBot="1">
      <c r="B3" s="54" t="s">
        <v>40</v>
      </c>
      <c r="C3" s="55">
        <v>1</v>
      </c>
      <c r="D3" s="56" t="str">
        <f>IF(W3="Freilos","Freilos",IF(W3="","Spieler 1",W3))</f>
        <v>Spieler 1</v>
      </c>
      <c r="E3" s="57" t="str">
        <f>IF(W11="Freilos","Freilos",IF(W11="","Spieler 9",W11))</f>
        <v>Spieler 9</v>
      </c>
      <c r="F3" s="58"/>
      <c r="G3" s="59"/>
      <c r="H3" s="60"/>
      <c r="I3" s="59"/>
      <c r="J3" s="58"/>
      <c r="K3" s="61"/>
      <c r="L3" s="184"/>
      <c r="M3" s="154"/>
      <c r="N3" s="49">
        <f aca="true" t="shared" si="0" ref="N3:N33">F3+G3</f>
        <v>0</v>
      </c>
      <c r="O3" s="49">
        <f aca="true" t="shared" si="1" ref="O3:O33">N3</f>
        <v>0</v>
      </c>
      <c r="P3" s="49">
        <f aca="true" t="shared" si="2" ref="P3:P33">IF(E3="Freilos",0,IF(F3&lt;G3,1,IF(F3&gt;G3,1,0)))</f>
        <v>0</v>
      </c>
      <c r="Q3" s="49">
        <f aca="true" t="shared" si="3" ref="Q3:Q33">IF(D3="Freilos",0,IF(F3&lt;G3,1,IF(F3&gt;G3,1,0)))</f>
        <v>0</v>
      </c>
      <c r="R3" s="49">
        <f aca="true" t="shared" si="4" ref="R3:R33">IF(E3="Freilos",0,IF(F3&gt;G3,1,0))</f>
        <v>0</v>
      </c>
      <c r="S3" s="49">
        <f aca="true" t="shared" si="5" ref="S3:S33">IF(D3="Freilos",0,IF(G3&gt;F3,1,0))</f>
        <v>0</v>
      </c>
      <c r="T3" s="146">
        <f>IF(E3="Freilos",3,IF(F3&gt;G3,3,0))</f>
        <v>0</v>
      </c>
      <c r="U3" s="146">
        <f>IF(D3="Freilos",3,IF(G3&gt;F3,3,0))</f>
        <v>0</v>
      </c>
      <c r="V3" s="49">
        <v>1</v>
      </c>
      <c r="W3" s="49" t="str">
        <f>IF(Auslosung_Turnierdaten!F9="","Spieler 1",Auslosung_Turnierdaten!F9)</f>
        <v>Spieler 1</v>
      </c>
      <c r="X3" s="49">
        <f aca="true" t="shared" si="6" ref="X3:X18">IF(W3="Freilos",0,SUMIF($D$3:$E$33,W3,$T$3:$U$33))</f>
        <v>0</v>
      </c>
      <c r="Y3" s="49">
        <f aca="true" t="shared" si="7" ref="Y3:Y18">SUMIF($D$3:$E$33,W3,$P$3:$Q$33)</f>
        <v>0</v>
      </c>
      <c r="Z3" s="49">
        <f aca="true" t="shared" si="8" ref="Z3:Z18">SUMIF($D$3:$E$33,W3,$R$3:$S$33)</f>
        <v>0</v>
      </c>
      <c r="AA3" s="49">
        <f>Y3-Z3</f>
        <v>0</v>
      </c>
      <c r="AB3" s="49">
        <f aca="true" t="shared" si="9" ref="AB3:AB18">SUMIF($D$3:$E$33,W3,$N$3:$O$33)</f>
        <v>0</v>
      </c>
      <c r="AC3" s="49">
        <f>SUMIF($D$3:$E$33,W3,$F$3:$G$33)</f>
        <v>0</v>
      </c>
      <c r="AD3" s="49">
        <f>AB3-AC3</f>
        <v>0</v>
      </c>
      <c r="AE3" s="147">
        <f>IF(AD3&gt;0,AC3/AD3,AC3*1.000000001)</f>
        <v>0</v>
      </c>
      <c r="AF3" s="49">
        <f>SUMIF($D$3:$E$33,W3,$H$3:$I$33)</f>
        <v>0</v>
      </c>
      <c r="AG3" s="147">
        <f>IF(AF3&gt;0,AC3/AF3,0)</f>
        <v>0</v>
      </c>
      <c r="AH3" s="147">
        <f aca="true" t="shared" si="10" ref="AH3:AH18">MAX(AJ3:AK3)</f>
        <v>0</v>
      </c>
      <c r="AI3" s="49">
        <f>MAX(SUMIF($D$3:$E$10,W3,$J$3:$K$10),SUMIF($D$11:$E$18,W3,$J$11:$K$18),SUMIF($D$19:$E$22,W3,$J$19:$K$22),SUMIF($D$23:$E$26,W3,$J$23:$K$26),SUMIF($D$27:$E$28,W3,$J$27:$K$28),SUMIF($D$29:$E$30,W3,$J$29:$K$30),SUMIF($D$31:$E$31,W3,$J$31:$K$31),SUMIF($D$32:$E$32,W3,$J$32:$K$32),SUMIF($D$33:$E$33,W3,$J$33:$K$33))</f>
        <v>0</v>
      </c>
      <c r="AJ3" s="49">
        <f>MAX(IF(AND(SUMIF($D$3:$E$10,W3,$H$3:$I$10)&gt;0,SUMIF($D$3:$E$10,W3,$R$3:$S$10)&gt;0),SUMIF($D$3:$E$10,W3,$F$3:$G$10)/SUMIF($D$3:$E$10,W3,$H$3:$I$10),0),IF(AND(SUMIF($D$11:$E$18,W3,$H$11:$I$18)&gt;0,SUMIF($D$11:$E$18,W3,$R$11:$S$18)&gt;0),SUMIF($D$11:$E$18,W3,$F$11:$G$18)/SUMIF($D$11:$E$18,W3,$H$11:$I$18),0),IF(AND(SUMIF($D$19:$E$22,W3,$H$19:$I$22)&gt;0,SUMIF($D$19:$E$22,W3,$R$19:$S$22)&gt;0),SUMIF($D$19:$E$22,W3,$F$19:$G$22)/SUMIF($D$19:$E$22,W3,$H$19:$I$22),0),IF(AND(SUMIF($D$23:$E$26,W3,$H$23:$I$26)&gt;0,SUMIF($D$23:$E$26,W3,$R$23:$S$26)&gt;0),SUMIF($D$23:$E$26,W3,$F$23:$G$26)/SUMIF($D$23:$E$26,W3,$H$23:$I$26),0),IF(AND(SUMIF($D$27:$E$28,W3,$H$27:$I$28)&gt;0,SUMIF($D$27:$E$28,W3,$R$27:$S$28)&gt;0),SUMIF($D$27:$E$28,W3,$F$27:$G$28)/SUMIF($D$27:$E$28,W3,$H$27:$I$28),0),IF(AND(SUMIF($D$29:$E$30,W3,$H$29:$I$30)&gt;0,SUMIF($D$29:$E$30,W3,$R$29:$S$30)&gt;0),SUMIF($D$29:$E$30,W3,$F$29:$G$30)/SUMIF($D$29:$E$30,W3,$H$29:$I$30),0))</f>
        <v>0</v>
      </c>
      <c r="AK3" s="49">
        <f>MAX(IF(AND(SUMIF($D$31:$E$31,W3,$H$31:$I$31)&gt;0,SUMIF($D$31:$E$31,W3,$R$31:$S$31)&gt;0),SUMIF($D$31:$E$31,W3,$F$31:$G$31)/SUMIF($D$31:$E$31,W3,$H$31:$I$31),0),IF(AND(SUMIF($D$32:$E$32,W3,$H$32:$I$32)&gt;0,SUMIF($D$32:$E$32,W3,$R$32:$S$32)&gt;0),SUMIF($D$32:$E$32,W3,$F$32:$G$32)/SUMIF($D$32:$E$32,W3,$H$32:$I$32),0),IF(AND(SUMIF($D$33:$E$33,W3,$H$33:$I$33)&gt;0,SUMIF($D$33:$E$33,W3,$R$33:$S$33)&gt;0),SUMIF($D$33:$E$33,W3,$F$33:$G$33)/SUMIF($D$33:$E$33,W3,$H$33:$I$33),0))</f>
        <v>0</v>
      </c>
      <c r="AL3" s="49">
        <f>SUMIF($D$33:$E$33,W3,$J$33:$K$33)</f>
        <v>0</v>
      </c>
      <c r="AN3" s="134">
        <f>IF(T3+U3&gt;0,"",L3)</f>
        <v>0</v>
      </c>
      <c r="AO3" s="148"/>
      <c r="AP3" s="134">
        <f>IF(OR(D3="Freilos",E3="Freilos"),1,"")</f>
      </c>
      <c r="AQ3" s="190"/>
      <c r="AR3" s="191"/>
      <c r="AS3" s="192">
        <f>IF(AR3&gt;AQ3,IF(AND(AP3="",AR3=""),"",AR3-AQ3),"")</f>
      </c>
      <c r="BV3" s="198">
        <v>0.6395717592592592</v>
      </c>
    </row>
    <row r="4" spans="3:45" ht="11.25" thickBot="1">
      <c r="C4" s="63">
        <v>2</v>
      </c>
      <c r="D4" s="64" t="str">
        <f>IF(W7="Freilos","Freilos",IF(W7="","Spieler 5",W7))</f>
        <v>Spieler 5</v>
      </c>
      <c r="E4" s="65" t="str">
        <f>IF(W15="Freilos","Freilos",IF(W15="","Spieler 13",W15))</f>
        <v>Spieler 13</v>
      </c>
      <c r="F4" s="66"/>
      <c r="G4" s="67"/>
      <c r="H4" s="68"/>
      <c r="I4" s="67"/>
      <c r="J4" s="66"/>
      <c r="K4" s="69"/>
      <c r="L4" s="185"/>
      <c r="M4" s="62"/>
      <c r="N4" s="49">
        <f t="shared" si="0"/>
        <v>0</v>
      </c>
      <c r="O4" s="49">
        <f t="shared" si="1"/>
        <v>0</v>
      </c>
      <c r="P4" s="49">
        <f t="shared" si="2"/>
        <v>0</v>
      </c>
      <c r="Q4" s="49">
        <f t="shared" si="3"/>
        <v>0</v>
      </c>
      <c r="R4" s="49">
        <f t="shared" si="4"/>
        <v>0</v>
      </c>
      <c r="S4" s="49">
        <f t="shared" si="5"/>
        <v>0</v>
      </c>
      <c r="T4" s="49">
        <f aca="true" t="shared" si="11" ref="T4:T14">IF(E4="Freilos",3,IF(F4&gt;G4,3,0))</f>
        <v>0</v>
      </c>
      <c r="U4" s="146">
        <f aca="true" t="shared" si="12" ref="U4:U14">IF(D4="Freilos",3,IF(G4&gt;F4,3,0))</f>
        <v>0</v>
      </c>
      <c r="V4" s="49">
        <v>2</v>
      </c>
      <c r="W4" s="49" t="str">
        <f>IF(Auslosung_Turnierdaten!F10="","Spieler 2",Auslosung_Turnierdaten!F10)</f>
        <v>Spieler 2</v>
      </c>
      <c r="X4" s="49">
        <f t="shared" si="6"/>
        <v>0</v>
      </c>
      <c r="Y4" s="49">
        <f t="shared" si="7"/>
        <v>0</v>
      </c>
      <c r="Z4" s="49">
        <f t="shared" si="8"/>
        <v>0</v>
      </c>
      <c r="AA4" s="49">
        <f aca="true" t="shared" si="13" ref="AA4:AA18">Y4-Z4</f>
        <v>0</v>
      </c>
      <c r="AB4" s="49">
        <f t="shared" si="9"/>
        <v>0</v>
      </c>
      <c r="AC4" s="49">
        <f aca="true" t="shared" si="14" ref="AC4:AC18">SUMIF($D$3:$E$33,W4,$F$3:$G$33)</f>
        <v>0</v>
      </c>
      <c r="AD4" s="49">
        <f aca="true" t="shared" si="15" ref="AD4:AD18">AB4-AC4</f>
        <v>0</v>
      </c>
      <c r="AE4" s="147">
        <f aca="true" t="shared" si="16" ref="AE4:AE18">IF(AD4&gt;0,AC4/AD4,AC4*1.000000001)</f>
        <v>0</v>
      </c>
      <c r="AF4" s="49">
        <f aca="true" t="shared" si="17" ref="AF4:AF18">SUMIF($D$3:$E$33,W4,$H$3:$I$33)</f>
        <v>0</v>
      </c>
      <c r="AG4" s="147">
        <f aca="true" t="shared" si="18" ref="AG4:AG18">IF(AF4&gt;0,AC4/AF4,0)</f>
        <v>0</v>
      </c>
      <c r="AH4" s="147">
        <f t="shared" si="10"/>
        <v>0</v>
      </c>
      <c r="AI4" s="49">
        <f aca="true" t="shared" si="19" ref="AI4:AI18">MAX(SUMIF($D$3:$E$10,W4,$J$3:$K$10),SUMIF($D$11:$E$18,W4,$J$11:$K$18),SUMIF($D$19:$E$22,W4,$J$19:$K$22),SUMIF($D$23:$E$26,W4,$J$23:$K$26),SUMIF($D$27:$E$28,W4,$J$27:$K$28),SUMIF($D$29:$E$30,W4,$J$29:$K$30),SUMIF($D$31:$E$31,W4,$J$31:$K$31),SUMIF($D$32:$E$32,W4,$J$32:$K$32),SUMIF($D$33:$E$33,W4,$J$33:$K$33))</f>
        <v>0</v>
      </c>
      <c r="AJ4" s="49">
        <f aca="true" t="shared" si="20" ref="AJ4:AJ18">MAX(IF(AND(SUMIF($D$3:$E$10,W4,$H$3:$I$10)&gt;0,SUMIF($D$3:$E$10,W4,$R$3:$S$10)&gt;0),SUMIF($D$3:$E$10,W4,$F$3:$G$10)/SUMIF($D$3:$E$10,W4,$H$3:$I$10),0),IF(AND(SUMIF($D$11:$E$18,W4,$H$11:$I$18)&gt;0,SUMIF($D$11:$E$18,W4,$R$11:$S$18)&gt;0),SUMIF($D$11:$E$18,W4,$F$11:$G$18)/SUMIF($D$11:$E$18,W4,$H$11:$I$18),0),IF(AND(SUMIF($D$19:$E$22,W4,$H$19:$I$22)&gt;0,SUMIF($D$19:$E$22,W4,$R$19:$S$22)&gt;0),SUMIF($D$19:$E$22,W4,$F$19:$G$22)/SUMIF($D$19:$E$22,W4,$H$19:$I$22),0),IF(AND(SUMIF($D$23:$E$26,W4,$H$23:$I$26)&gt;0,SUMIF($D$23:$E$26,W4,$R$23:$S$26)&gt;0),SUMIF($D$23:$E$26,W4,$F$23:$G$26)/SUMIF($D$23:$E$26,W4,$H$23:$I$26),0),IF(AND(SUMIF($D$27:$E$28,W4,$H$27:$I$28)&gt;0,SUMIF($D$27:$E$28,W4,$R$27:$S$28)&gt;0),SUMIF($D$27:$E$28,W4,$F$27:$G$28)/SUMIF($D$27:$E$28,W4,$H$27:$I$28),0),IF(AND(SUMIF($D$29:$E$30,W4,$H$29:$I$30)&gt;0,SUMIF($D$29:$E$30,W4,$R$29:$S$30)&gt;0),SUMIF($D$29:$E$30,W4,$F$29:$G$30)/SUMIF($D$29:$E$30,W4,$H$29:$I$30),0))</f>
        <v>0</v>
      </c>
      <c r="AK4" s="49">
        <f aca="true" t="shared" si="21" ref="AK4:AK18">MAX(IF(AND(SUMIF($D$31:$E$31,W4,$H$31:$I$31)&gt;0,SUMIF($D$31:$E$31,W4,$R$31:$S$31)&gt;0),SUMIF($D$31:$E$31,W4,$F$31:$G$31)/SUMIF($D$31:$E$31,W4,$H$31:$I$31),0),IF(AND(SUMIF($D$32:$E$32,W4,$H$32:$I$32)&gt;0,SUMIF($D$32:$E$32,W4,$R$32:$S$32)&gt;0),SUMIF($D$32:$E$32,W4,$F$32:$G$32)/SUMIF($D$32:$E$32,W4,$H$32:$I$32),0),IF(AND(SUMIF($D$33:$E$33,W4,$H$33:$I$33)&gt;0,SUMIF($D$33:$E$33,W4,$R$33:$S$33)&gt;0),SUMIF($D$33:$E$33,W4,$F$33:$G$33)/SUMIF($D$33:$E$33,W4,$H$33:$I$33),0))</f>
        <v>0</v>
      </c>
      <c r="AL4" s="49">
        <f aca="true" t="shared" si="22" ref="AL4:AL18">SUMIF($D$33:$E$33,W4,$J$33:$K$33)</f>
        <v>0</v>
      </c>
      <c r="AN4" s="134">
        <f aca="true" t="shared" si="23" ref="AN4:AN34">IF(T4+U4&gt;0,"",L4)</f>
        <v>0</v>
      </c>
      <c r="AO4" s="148"/>
      <c r="AP4" s="134">
        <f aca="true" t="shared" si="24" ref="AP4:AP33">IF(OR(D4="Freilos",E4="Freilos"),1,"")</f>
      </c>
      <c r="AQ4" s="190"/>
      <c r="AR4" s="191"/>
      <c r="AS4" s="192">
        <f aca="true" t="shared" si="25" ref="AS4:AS33">IF(AR4&gt;AQ4,IF(AND(AP4="",AR4=""),"",AR4-AQ4),"")</f>
      </c>
    </row>
    <row r="5" spans="3:64" ht="10.5">
      <c r="C5" s="63">
        <v>3</v>
      </c>
      <c r="D5" s="64" t="str">
        <f>IF(W5="Freilos","Freilos",IF(W5="","Spieler 3",W5))</f>
        <v>Spieler 3</v>
      </c>
      <c r="E5" s="65" t="str">
        <f>IF(W13="Freilos","Freilos",IF(W13="","Spieler 11",W13))</f>
        <v>Spieler 11</v>
      </c>
      <c r="F5" s="66"/>
      <c r="G5" s="67"/>
      <c r="H5" s="68"/>
      <c r="I5" s="67"/>
      <c r="J5" s="66"/>
      <c r="K5" s="69"/>
      <c r="L5" s="185"/>
      <c r="M5" s="70" t="s">
        <v>91</v>
      </c>
      <c r="N5" s="49">
        <f t="shared" si="0"/>
        <v>0</v>
      </c>
      <c r="O5" s="49">
        <f t="shared" si="1"/>
        <v>0</v>
      </c>
      <c r="P5" s="49">
        <f t="shared" si="2"/>
        <v>0</v>
      </c>
      <c r="Q5" s="49">
        <f t="shared" si="3"/>
        <v>0</v>
      </c>
      <c r="R5" s="49">
        <f t="shared" si="4"/>
        <v>0</v>
      </c>
      <c r="S5" s="49">
        <f t="shared" si="5"/>
        <v>0</v>
      </c>
      <c r="T5" s="49">
        <f t="shared" si="11"/>
        <v>0</v>
      </c>
      <c r="U5" s="146">
        <f t="shared" si="12"/>
        <v>0</v>
      </c>
      <c r="V5" s="49">
        <v>3</v>
      </c>
      <c r="W5" s="49" t="str">
        <f>IF(Auslosung_Turnierdaten!F11="","Spieler 3",Auslosung_Turnierdaten!F11)</f>
        <v>Spieler 3</v>
      </c>
      <c r="X5" s="49">
        <f t="shared" si="6"/>
        <v>0</v>
      </c>
      <c r="Y5" s="49">
        <f t="shared" si="7"/>
        <v>0</v>
      </c>
      <c r="Z5" s="49">
        <f t="shared" si="8"/>
        <v>0</v>
      </c>
      <c r="AA5" s="49">
        <f t="shared" si="13"/>
        <v>0</v>
      </c>
      <c r="AB5" s="49">
        <f t="shared" si="9"/>
        <v>0</v>
      </c>
      <c r="AC5" s="49">
        <f t="shared" si="14"/>
        <v>0</v>
      </c>
      <c r="AD5" s="49">
        <f t="shared" si="15"/>
        <v>0</v>
      </c>
      <c r="AE5" s="147">
        <f t="shared" si="16"/>
        <v>0</v>
      </c>
      <c r="AF5" s="49">
        <f t="shared" si="17"/>
        <v>0</v>
      </c>
      <c r="AG5" s="147">
        <f t="shared" si="18"/>
        <v>0</v>
      </c>
      <c r="AH5" s="147">
        <f t="shared" si="10"/>
        <v>0</v>
      </c>
      <c r="AI5" s="49">
        <f t="shared" si="19"/>
        <v>0</v>
      </c>
      <c r="AJ5" s="49">
        <f t="shared" si="20"/>
        <v>0</v>
      </c>
      <c r="AK5" s="49">
        <f t="shared" si="21"/>
        <v>0</v>
      </c>
      <c r="AL5" s="49">
        <f t="shared" si="22"/>
        <v>0</v>
      </c>
      <c r="AN5" s="134">
        <f t="shared" si="23"/>
        <v>0</v>
      </c>
      <c r="AO5" s="148"/>
      <c r="AP5" s="134">
        <f t="shared" si="24"/>
      </c>
      <c r="AQ5" s="190"/>
      <c r="AR5" s="191"/>
      <c r="AS5" s="192">
        <f t="shared" si="25"/>
      </c>
      <c r="BL5" s="49">
        <f>IF(AND(COUNTIF(L3:L3:L3:$L$33,L3)=1,F3+G3&gt;0),L3&amp;"-","")</f>
      </c>
    </row>
    <row r="6" spans="3:64" ht="10.5">
      <c r="C6" s="63">
        <v>4</v>
      </c>
      <c r="D6" s="64" t="str">
        <f>IF(W9="Freilos","Freilos",IF(W9="","Spieler 7",W9))</f>
        <v>Spieler 7</v>
      </c>
      <c r="E6" s="65" t="str">
        <f>IF(W17="Freilos","Freilos",IF(W17="","Spieler 15",W17))</f>
        <v>Spieler 15</v>
      </c>
      <c r="F6" s="66"/>
      <c r="G6" s="67"/>
      <c r="H6" s="68"/>
      <c r="I6" s="67"/>
      <c r="J6" s="66"/>
      <c r="K6" s="69"/>
      <c r="L6" s="185"/>
      <c r="M6" s="149" t="s">
        <v>92</v>
      </c>
      <c r="N6" s="49">
        <f t="shared" si="0"/>
        <v>0</v>
      </c>
      <c r="O6" s="49">
        <f t="shared" si="1"/>
        <v>0</v>
      </c>
      <c r="P6" s="49">
        <f t="shared" si="2"/>
        <v>0</v>
      </c>
      <c r="Q6" s="49">
        <f t="shared" si="3"/>
        <v>0</v>
      </c>
      <c r="R6" s="49">
        <f t="shared" si="4"/>
        <v>0</v>
      </c>
      <c r="S6" s="49">
        <f t="shared" si="5"/>
        <v>0</v>
      </c>
      <c r="T6" s="49">
        <f t="shared" si="11"/>
        <v>0</v>
      </c>
      <c r="U6" s="146">
        <f t="shared" si="12"/>
        <v>0</v>
      </c>
      <c r="V6" s="49">
        <v>4</v>
      </c>
      <c r="W6" s="49" t="str">
        <f>IF(Auslosung_Turnierdaten!F12="","Spieler 4",Auslosung_Turnierdaten!F12)</f>
        <v>Spieler 4</v>
      </c>
      <c r="X6" s="49">
        <f t="shared" si="6"/>
        <v>0</v>
      </c>
      <c r="Y6" s="49">
        <f t="shared" si="7"/>
        <v>0</v>
      </c>
      <c r="Z6" s="49">
        <f t="shared" si="8"/>
        <v>0</v>
      </c>
      <c r="AA6" s="49">
        <f t="shared" si="13"/>
        <v>0</v>
      </c>
      <c r="AB6" s="49">
        <f t="shared" si="9"/>
        <v>0</v>
      </c>
      <c r="AC6" s="49">
        <f t="shared" si="14"/>
        <v>0</v>
      </c>
      <c r="AD6" s="49">
        <f t="shared" si="15"/>
        <v>0</v>
      </c>
      <c r="AE6" s="147">
        <f t="shared" si="16"/>
        <v>0</v>
      </c>
      <c r="AF6" s="49">
        <f t="shared" si="17"/>
        <v>0</v>
      </c>
      <c r="AG6" s="147">
        <f t="shared" si="18"/>
        <v>0</v>
      </c>
      <c r="AH6" s="147">
        <f t="shared" si="10"/>
        <v>0</v>
      </c>
      <c r="AI6" s="49">
        <f t="shared" si="19"/>
        <v>0</v>
      </c>
      <c r="AJ6" s="49">
        <f t="shared" si="20"/>
        <v>0</v>
      </c>
      <c r="AK6" s="49">
        <f t="shared" si="21"/>
        <v>0</v>
      </c>
      <c r="AL6" s="49">
        <f t="shared" si="22"/>
        <v>0</v>
      </c>
      <c r="AN6" s="134">
        <f t="shared" si="23"/>
        <v>0</v>
      </c>
      <c r="AO6" s="148"/>
      <c r="AP6" s="134">
        <f t="shared" si="24"/>
      </c>
      <c r="AQ6" s="190"/>
      <c r="AR6" s="191"/>
      <c r="AS6" s="192">
        <f t="shared" si="25"/>
      </c>
      <c r="BL6" s="49">
        <f>IF(AND(COUNTIF(L4:L4:L4:$L$33,L4)=1,F4+G4&gt;0),L4&amp;"-","")</f>
      </c>
    </row>
    <row r="7" spans="3:64" ht="11.25" thickBot="1">
      <c r="C7" s="63">
        <v>5</v>
      </c>
      <c r="D7" s="64" t="str">
        <f>IF(W4="Freilos","Freilos",IF(W4="","Spieler 2",W4))</f>
        <v>Spieler 2</v>
      </c>
      <c r="E7" s="65" t="str">
        <f>IF(W12="Freilos","Freilos",IF(W12="","Spieler 10",W12))</f>
        <v>Spieler 10</v>
      </c>
      <c r="F7" s="66"/>
      <c r="G7" s="67"/>
      <c r="H7" s="68"/>
      <c r="I7" s="67"/>
      <c r="J7" s="66"/>
      <c r="K7" s="69"/>
      <c r="L7" s="185"/>
      <c r="M7" s="71" t="s">
        <v>93</v>
      </c>
      <c r="N7" s="49">
        <f t="shared" si="0"/>
        <v>0</v>
      </c>
      <c r="O7" s="49">
        <f t="shared" si="1"/>
        <v>0</v>
      </c>
      <c r="P7" s="49">
        <f t="shared" si="2"/>
        <v>0</v>
      </c>
      <c r="Q7" s="49">
        <f t="shared" si="3"/>
        <v>0</v>
      </c>
      <c r="R7" s="49">
        <f t="shared" si="4"/>
        <v>0</v>
      </c>
      <c r="S7" s="49">
        <f t="shared" si="5"/>
        <v>0</v>
      </c>
      <c r="T7" s="49">
        <f t="shared" si="11"/>
        <v>0</v>
      </c>
      <c r="U7" s="146">
        <f t="shared" si="12"/>
        <v>0</v>
      </c>
      <c r="V7" s="49">
        <v>5</v>
      </c>
      <c r="W7" s="49" t="str">
        <f>IF(Auslosung_Turnierdaten!F13="","Spieler 5",Auslosung_Turnierdaten!F13)</f>
        <v>Spieler 5</v>
      </c>
      <c r="X7" s="49">
        <f t="shared" si="6"/>
        <v>0</v>
      </c>
      <c r="Y7" s="49">
        <f t="shared" si="7"/>
        <v>0</v>
      </c>
      <c r="Z7" s="49">
        <f t="shared" si="8"/>
        <v>0</v>
      </c>
      <c r="AA7" s="49">
        <f t="shared" si="13"/>
        <v>0</v>
      </c>
      <c r="AB7" s="49">
        <f t="shared" si="9"/>
        <v>0</v>
      </c>
      <c r="AC7" s="49">
        <f t="shared" si="14"/>
        <v>0</v>
      </c>
      <c r="AD7" s="49">
        <f t="shared" si="15"/>
        <v>0</v>
      </c>
      <c r="AE7" s="147">
        <f t="shared" si="16"/>
        <v>0</v>
      </c>
      <c r="AF7" s="49">
        <f t="shared" si="17"/>
        <v>0</v>
      </c>
      <c r="AG7" s="147">
        <f t="shared" si="18"/>
        <v>0</v>
      </c>
      <c r="AH7" s="147">
        <f t="shared" si="10"/>
        <v>0</v>
      </c>
      <c r="AI7" s="49">
        <f t="shared" si="19"/>
        <v>0</v>
      </c>
      <c r="AJ7" s="49">
        <f t="shared" si="20"/>
        <v>0</v>
      </c>
      <c r="AK7" s="49">
        <f t="shared" si="21"/>
        <v>0</v>
      </c>
      <c r="AL7" s="49">
        <f t="shared" si="22"/>
        <v>0</v>
      </c>
      <c r="AN7" s="134">
        <f t="shared" si="23"/>
        <v>0</v>
      </c>
      <c r="AO7" s="148"/>
      <c r="AP7" s="134">
        <f t="shared" si="24"/>
      </c>
      <c r="AQ7" s="190"/>
      <c r="AR7" s="191"/>
      <c r="AS7" s="192">
        <f t="shared" si="25"/>
      </c>
      <c r="BL7" s="49">
        <f>IF(AND(COUNTIF(L5:L5:L5:$L$33,L5)=1,F5+G5&gt;0),L5&amp;"-","")</f>
      </c>
    </row>
    <row r="8" spans="3:64" ht="10.5">
      <c r="C8" s="63">
        <v>6</v>
      </c>
      <c r="D8" s="64" t="str">
        <f>IF(W8="Freilos","Freilos",IF(W8="","Spieler 6",W8))</f>
        <v>Spieler 6</v>
      </c>
      <c r="E8" s="65" t="str">
        <f>IF(W16="Freilos","Freilos",IF(W16="","Spieler 14",W16))</f>
        <v>Spieler 14</v>
      </c>
      <c r="F8" s="66"/>
      <c r="G8" s="67"/>
      <c r="H8" s="68"/>
      <c r="I8" s="67"/>
      <c r="J8" s="66"/>
      <c r="K8" s="69"/>
      <c r="L8" s="185"/>
      <c r="M8" s="62"/>
      <c r="N8" s="49">
        <f t="shared" si="0"/>
        <v>0</v>
      </c>
      <c r="O8" s="49">
        <f t="shared" si="1"/>
        <v>0</v>
      </c>
      <c r="P8" s="49">
        <f t="shared" si="2"/>
        <v>0</v>
      </c>
      <c r="Q8" s="49">
        <f t="shared" si="3"/>
        <v>0</v>
      </c>
      <c r="R8" s="49">
        <f t="shared" si="4"/>
        <v>0</v>
      </c>
      <c r="S8" s="49">
        <f t="shared" si="5"/>
        <v>0</v>
      </c>
      <c r="T8" s="49">
        <f t="shared" si="11"/>
        <v>0</v>
      </c>
      <c r="U8" s="146">
        <f t="shared" si="12"/>
        <v>0</v>
      </c>
      <c r="V8" s="49">
        <v>6</v>
      </c>
      <c r="W8" s="49" t="str">
        <f>IF(Auslosung_Turnierdaten!F14="","Spieler 6",Auslosung_Turnierdaten!F14)</f>
        <v>Spieler 6</v>
      </c>
      <c r="X8" s="49">
        <f t="shared" si="6"/>
        <v>0</v>
      </c>
      <c r="Y8" s="49">
        <f t="shared" si="7"/>
        <v>0</v>
      </c>
      <c r="Z8" s="49">
        <f t="shared" si="8"/>
        <v>0</v>
      </c>
      <c r="AA8" s="49">
        <f t="shared" si="13"/>
        <v>0</v>
      </c>
      <c r="AB8" s="49">
        <f t="shared" si="9"/>
        <v>0</v>
      </c>
      <c r="AC8" s="49">
        <f t="shared" si="14"/>
        <v>0</v>
      </c>
      <c r="AD8" s="49">
        <f t="shared" si="15"/>
        <v>0</v>
      </c>
      <c r="AE8" s="147">
        <f t="shared" si="16"/>
        <v>0</v>
      </c>
      <c r="AF8" s="49">
        <f t="shared" si="17"/>
        <v>0</v>
      </c>
      <c r="AG8" s="147">
        <f t="shared" si="18"/>
        <v>0</v>
      </c>
      <c r="AH8" s="147">
        <f t="shared" si="10"/>
        <v>0</v>
      </c>
      <c r="AI8" s="49">
        <f t="shared" si="19"/>
        <v>0</v>
      </c>
      <c r="AJ8" s="49">
        <f t="shared" si="20"/>
        <v>0</v>
      </c>
      <c r="AK8" s="49">
        <f t="shared" si="21"/>
        <v>0</v>
      </c>
      <c r="AL8" s="49">
        <f t="shared" si="22"/>
        <v>0</v>
      </c>
      <c r="AN8" s="134">
        <f t="shared" si="23"/>
        <v>0</v>
      </c>
      <c r="AO8" s="148"/>
      <c r="AP8" s="134">
        <f t="shared" si="24"/>
      </c>
      <c r="AQ8" s="190"/>
      <c r="AR8" s="191"/>
      <c r="AS8" s="192">
        <f t="shared" si="25"/>
      </c>
      <c r="BL8" s="49">
        <f>IF(AND(COUNTIF(L6:L6:L6:$L$33,L6)=1,F6+G6&gt;0),L6&amp;"-","")</f>
      </c>
    </row>
    <row r="9" spans="3:64" ht="10.5">
      <c r="C9" s="63">
        <v>7</v>
      </c>
      <c r="D9" s="64" t="str">
        <f>IF(W6="Freilos","Freilos",IF(W6="","Spieler 4",W6))</f>
        <v>Spieler 4</v>
      </c>
      <c r="E9" s="65" t="str">
        <f>IF(W14="Freilos","Freilos",IF(W14="","Spieler 12",W14))</f>
        <v>Spieler 12</v>
      </c>
      <c r="F9" s="66"/>
      <c r="G9" s="67"/>
      <c r="H9" s="68"/>
      <c r="I9" s="67"/>
      <c r="J9" s="66"/>
      <c r="K9" s="69"/>
      <c r="L9" s="185"/>
      <c r="M9" s="62"/>
      <c r="N9" s="49">
        <f t="shared" si="0"/>
        <v>0</v>
      </c>
      <c r="O9" s="49">
        <f t="shared" si="1"/>
        <v>0</v>
      </c>
      <c r="P9" s="49">
        <f t="shared" si="2"/>
        <v>0</v>
      </c>
      <c r="Q9" s="49">
        <f t="shared" si="3"/>
        <v>0</v>
      </c>
      <c r="R9" s="49">
        <f t="shared" si="4"/>
        <v>0</v>
      </c>
      <c r="S9" s="49">
        <f t="shared" si="5"/>
        <v>0</v>
      </c>
      <c r="T9" s="49">
        <f t="shared" si="11"/>
        <v>0</v>
      </c>
      <c r="U9" s="146">
        <f t="shared" si="12"/>
        <v>0</v>
      </c>
      <c r="V9" s="49">
        <v>7</v>
      </c>
      <c r="W9" s="49" t="str">
        <f>IF(Auslosung_Turnierdaten!F15="","Spieler 7",Auslosung_Turnierdaten!F15)</f>
        <v>Spieler 7</v>
      </c>
      <c r="X9" s="49">
        <f t="shared" si="6"/>
        <v>0</v>
      </c>
      <c r="Y9" s="49">
        <f t="shared" si="7"/>
        <v>0</v>
      </c>
      <c r="Z9" s="49">
        <f t="shared" si="8"/>
        <v>0</v>
      </c>
      <c r="AA9" s="49">
        <f t="shared" si="13"/>
        <v>0</v>
      </c>
      <c r="AB9" s="49">
        <f t="shared" si="9"/>
        <v>0</v>
      </c>
      <c r="AC9" s="49">
        <f t="shared" si="14"/>
        <v>0</v>
      </c>
      <c r="AD9" s="49">
        <f t="shared" si="15"/>
        <v>0</v>
      </c>
      <c r="AE9" s="147">
        <f t="shared" si="16"/>
        <v>0</v>
      </c>
      <c r="AF9" s="49">
        <f t="shared" si="17"/>
        <v>0</v>
      </c>
      <c r="AG9" s="147">
        <f t="shared" si="18"/>
        <v>0</v>
      </c>
      <c r="AH9" s="147">
        <f t="shared" si="10"/>
        <v>0</v>
      </c>
      <c r="AI9" s="49">
        <f t="shared" si="19"/>
        <v>0</v>
      </c>
      <c r="AJ9" s="49">
        <f t="shared" si="20"/>
        <v>0</v>
      </c>
      <c r="AK9" s="49">
        <f t="shared" si="21"/>
        <v>0</v>
      </c>
      <c r="AL9" s="49">
        <f t="shared" si="22"/>
        <v>0</v>
      </c>
      <c r="AN9" s="134">
        <f t="shared" si="23"/>
        <v>0</v>
      </c>
      <c r="AO9" s="148"/>
      <c r="AP9" s="134">
        <f t="shared" si="24"/>
      </c>
      <c r="AQ9" s="190"/>
      <c r="AR9" s="191"/>
      <c r="AS9" s="192">
        <f t="shared" si="25"/>
      </c>
      <c r="BL9" s="49">
        <f>IF(AND(COUNTIF(L7:L7:L7:$L$33,L7)=1,F7+G7&gt;0),L7&amp;"-","")</f>
      </c>
    </row>
    <row r="10" spans="3:64" ht="11.25" thickBot="1">
      <c r="C10" s="72">
        <v>8</v>
      </c>
      <c r="D10" s="73" t="str">
        <f>IF(W10="Freilos","Freilos",IF(W10="","Spieler 8",W10))</f>
        <v>Spieler 8</v>
      </c>
      <c r="E10" s="74" t="str">
        <f>IF(W18="Freilos","Freilos",IF(W18="","Spieler 16",W18))</f>
        <v>Spieler 16</v>
      </c>
      <c r="F10" s="77"/>
      <c r="G10" s="76"/>
      <c r="H10" s="75"/>
      <c r="I10" s="76"/>
      <c r="J10" s="77"/>
      <c r="K10" s="78"/>
      <c r="L10" s="185"/>
      <c r="M10" s="62" t="s">
        <v>53</v>
      </c>
      <c r="N10" s="49">
        <f t="shared" si="0"/>
        <v>0</v>
      </c>
      <c r="O10" s="49">
        <f t="shared" si="1"/>
        <v>0</v>
      </c>
      <c r="P10" s="49">
        <f t="shared" si="2"/>
        <v>0</v>
      </c>
      <c r="Q10" s="49">
        <f t="shared" si="3"/>
        <v>0</v>
      </c>
      <c r="R10" s="49">
        <f t="shared" si="4"/>
        <v>0</v>
      </c>
      <c r="S10" s="49">
        <f t="shared" si="5"/>
        <v>0</v>
      </c>
      <c r="T10" s="49">
        <f t="shared" si="11"/>
        <v>0</v>
      </c>
      <c r="U10" s="146">
        <f t="shared" si="12"/>
        <v>0</v>
      </c>
      <c r="V10" s="49">
        <v>8</v>
      </c>
      <c r="W10" s="49" t="str">
        <f>IF(Auslosung_Turnierdaten!F16="","Spieler 8",Auslosung_Turnierdaten!F16)</f>
        <v>Spieler 8</v>
      </c>
      <c r="X10" s="49">
        <f t="shared" si="6"/>
        <v>0</v>
      </c>
      <c r="Y10" s="49">
        <f t="shared" si="7"/>
        <v>0</v>
      </c>
      <c r="Z10" s="49">
        <f t="shared" si="8"/>
        <v>0</v>
      </c>
      <c r="AA10" s="49">
        <f t="shared" si="13"/>
        <v>0</v>
      </c>
      <c r="AB10" s="49">
        <f t="shared" si="9"/>
        <v>0</v>
      </c>
      <c r="AC10" s="49">
        <f t="shared" si="14"/>
        <v>0</v>
      </c>
      <c r="AD10" s="49">
        <f t="shared" si="15"/>
        <v>0</v>
      </c>
      <c r="AE10" s="147">
        <f t="shared" si="16"/>
        <v>0</v>
      </c>
      <c r="AF10" s="49">
        <f t="shared" si="17"/>
        <v>0</v>
      </c>
      <c r="AG10" s="147">
        <f t="shared" si="18"/>
        <v>0</v>
      </c>
      <c r="AH10" s="147">
        <f t="shared" si="10"/>
        <v>0</v>
      </c>
      <c r="AI10" s="49">
        <f t="shared" si="19"/>
        <v>0</v>
      </c>
      <c r="AJ10" s="49">
        <f t="shared" si="20"/>
        <v>0</v>
      </c>
      <c r="AK10" s="49">
        <f t="shared" si="21"/>
        <v>0</v>
      </c>
      <c r="AL10" s="49">
        <f t="shared" si="22"/>
        <v>0</v>
      </c>
      <c r="AN10" s="134">
        <f t="shared" si="23"/>
        <v>0</v>
      </c>
      <c r="AO10" s="148"/>
      <c r="AP10" s="134">
        <f t="shared" si="24"/>
      </c>
      <c r="AQ10" s="190"/>
      <c r="AR10" s="191"/>
      <c r="AS10" s="192">
        <f t="shared" si="25"/>
      </c>
      <c r="BL10" s="49">
        <f>IF(AND(COUNTIF(L8:L8:L8:$L$33,L8)=1,F8+G8&gt;0),L8&amp;"-","")</f>
      </c>
    </row>
    <row r="11" spans="2:64" ht="11.25" thickBot="1">
      <c r="B11" s="51" t="s">
        <v>41</v>
      </c>
      <c r="C11" s="55">
        <v>9</v>
      </c>
      <c r="D11" s="79" t="str">
        <f>IF(D3="Spieler 1","Verlierer 1",IF(E3="Spieler 9","Verlierer 1",IF(D3=E3,"Freilos",IF(E3="Freilos",E3,IF(D3="Freilos",D3,IF(F3&gt;G3,E3,IF(G3&gt;F3,D3,"Verlierer 1")))))))</f>
        <v>Verlierer 1</v>
      </c>
      <c r="E11" s="80" t="str">
        <f>IF(D4="Spieler 5","Verlierer 2",IF(E4="Spieler 13","Verlierer 2",IF(D4=E4,"Freilos",IF(E4="Freilos",E4,IF(D4="Freilos",D4,IF(F4&gt;G4,E4,IF(G4&gt;F4,D4,"Verlierer 2")))))))</f>
        <v>Verlierer 2</v>
      </c>
      <c r="F11" s="81"/>
      <c r="G11" s="82"/>
      <c r="H11" s="83"/>
      <c r="I11" s="82"/>
      <c r="J11" s="81"/>
      <c r="K11" s="84"/>
      <c r="L11" s="185"/>
      <c r="M11" s="85">
        <f>IF(F11&gt;G11,E11,IF(F11&lt;G11,D11,""))</f>
      </c>
      <c r="N11" s="49">
        <f t="shared" si="0"/>
        <v>0</v>
      </c>
      <c r="O11" s="49">
        <f t="shared" si="1"/>
        <v>0</v>
      </c>
      <c r="P11" s="49">
        <f t="shared" si="2"/>
        <v>0</v>
      </c>
      <c r="Q11" s="49">
        <f t="shared" si="3"/>
        <v>0</v>
      </c>
      <c r="R11" s="49">
        <f t="shared" si="4"/>
        <v>0</v>
      </c>
      <c r="S11" s="49">
        <f t="shared" si="5"/>
        <v>0</v>
      </c>
      <c r="T11" s="49">
        <f t="shared" si="11"/>
        <v>0</v>
      </c>
      <c r="U11" s="146">
        <f t="shared" si="12"/>
        <v>0</v>
      </c>
      <c r="V11" s="49">
        <v>9</v>
      </c>
      <c r="W11" s="49" t="str">
        <f>IF(Auslosung_Turnierdaten!F17="","Spieler 9",Auslosung_Turnierdaten!F17)</f>
        <v>Spieler 9</v>
      </c>
      <c r="X11" s="49">
        <f t="shared" si="6"/>
        <v>0</v>
      </c>
      <c r="Y11" s="49">
        <f t="shared" si="7"/>
        <v>0</v>
      </c>
      <c r="Z11" s="49">
        <f t="shared" si="8"/>
        <v>0</v>
      </c>
      <c r="AA11" s="49">
        <f t="shared" si="13"/>
        <v>0</v>
      </c>
      <c r="AB11" s="49">
        <f t="shared" si="9"/>
        <v>0</v>
      </c>
      <c r="AC11" s="49">
        <f t="shared" si="14"/>
        <v>0</v>
      </c>
      <c r="AD11" s="49">
        <f t="shared" si="15"/>
        <v>0</v>
      </c>
      <c r="AE11" s="147">
        <f t="shared" si="16"/>
        <v>0</v>
      </c>
      <c r="AF11" s="49">
        <f t="shared" si="17"/>
        <v>0</v>
      </c>
      <c r="AG11" s="147">
        <f t="shared" si="18"/>
        <v>0</v>
      </c>
      <c r="AH11" s="147">
        <f t="shared" si="10"/>
        <v>0</v>
      </c>
      <c r="AI11" s="49">
        <f t="shared" si="19"/>
        <v>0</v>
      </c>
      <c r="AJ11" s="49">
        <f t="shared" si="20"/>
        <v>0</v>
      </c>
      <c r="AK11" s="49">
        <f t="shared" si="21"/>
        <v>0</v>
      </c>
      <c r="AL11" s="49">
        <f t="shared" si="22"/>
        <v>0</v>
      </c>
      <c r="AN11" s="134">
        <f t="shared" si="23"/>
        <v>0</v>
      </c>
      <c r="AO11" s="148"/>
      <c r="AP11" s="134">
        <f t="shared" si="24"/>
      </c>
      <c r="AQ11" s="190"/>
      <c r="AR11" s="191"/>
      <c r="AS11" s="192">
        <f t="shared" si="25"/>
      </c>
      <c r="BL11" s="49">
        <f>IF(AND(COUNTIF(L9:L9:L9:$L$33,L9)=1,F9+G9&gt;0),L9&amp;"-","")</f>
      </c>
    </row>
    <row r="12" spans="3:64" ht="10.5">
      <c r="C12" s="63">
        <v>10</v>
      </c>
      <c r="D12" s="86" t="str">
        <f>IF(D5="Spieler 3","Verlierer 3",IF(E5="Spieler 11","Verlierer 3",IF(D5=E5,"Freilos",IF(E5="Freilos",E5,IF(D5="Freilos",D5,IF(F5&gt;G5,E5,IF(G5&gt;F5,D5,"Verlierer 3")))))))</f>
        <v>Verlierer 3</v>
      </c>
      <c r="E12" s="87" t="str">
        <f>IF(D6="Spieler 7","Verlierer 4",IF(E6="Spieler 15","Verlierer 4",IF(D6=E6,"Freilos",IF(E6="Freilos",E6,IF(D6="Freilos",D6,IF(F6&gt;G6,E6,IF(G6&gt;F6,D6,"Verlierer 4")))))))</f>
        <v>Verlierer 4</v>
      </c>
      <c r="F12" s="88"/>
      <c r="G12" s="89"/>
      <c r="H12" s="90"/>
      <c r="I12" s="89"/>
      <c r="J12" s="88"/>
      <c r="K12" s="91"/>
      <c r="L12" s="185"/>
      <c r="M12" s="85">
        <f>IF(F12&gt;G12,E12,IF(F12&lt;G12,D12,""))</f>
      </c>
      <c r="N12" s="49">
        <f t="shared" si="0"/>
        <v>0</v>
      </c>
      <c r="O12" s="49">
        <f t="shared" si="1"/>
        <v>0</v>
      </c>
      <c r="P12" s="49">
        <f t="shared" si="2"/>
        <v>0</v>
      </c>
      <c r="Q12" s="49">
        <f t="shared" si="3"/>
        <v>0</v>
      </c>
      <c r="R12" s="49">
        <f t="shared" si="4"/>
        <v>0</v>
      </c>
      <c r="S12" s="49">
        <f t="shared" si="5"/>
        <v>0</v>
      </c>
      <c r="T12" s="49">
        <f t="shared" si="11"/>
        <v>0</v>
      </c>
      <c r="U12" s="146">
        <f t="shared" si="12"/>
        <v>0</v>
      </c>
      <c r="V12" s="49">
        <v>10</v>
      </c>
      <c r="W12" s="49" t="str">
        <f>IF(Auslosung_Turnierdaten!F18="","Spieler 10",Auslosung_Turnierdaten!F18)</f>
        <v>Spieler 10</v>
      </c>
      <c r="X12" s="49">
        <f t="shared" si="6"/>
        <v>0</v>
      </c>
      <c r="Y12" s="49">
        <f t="shared" si="7"/>
        <v>0</v>
      </c>
      <c r="Z12" s="49">
        <f t="shared" si="8"/>
        <v>0</v>
      </c>
      <c r="AA12" s="49">
        <f t="shared" si="13"/>
        <v>0</v>
      </c>
      <c r="AB12" s="49">
        <f t="shared" si="9"/>
        <v>0</v>
      </c>
      <c r="AC12" s="49">
        <f t="shared" si="14"/>
        <v>0</v>
      </c>
      <c r="AD12" s="49">
        <f t="shared" si="15"/>
        <v>0</v>
      </c>
      <c r="AE12" s="147">
        <f t="shared" si="16"/>
        <v>0</v>
      </c>
      <c r="AF12" s="49">
        <f t="shared" si="17"/>
        <v>0</v>
      </c>
      <c r="AG12" s="147">
        <f t="shared" si="18"/>
        <v>0</v>
      </c>
      <c r="AH12" s="147">
        <f t="shared" si="10"/>
        <v>0</v>
      </c>
      <c r="AI12" s="49">
        <f t="shared" si="19"/>
        <v>0</v>
      </c>
      <c r="AJ12" s="49">
        <f t="shared" si="20"/>
        <v>0</v>
      </c>
      <c r="AK12" s="49">
        <f t="shared" si="21"/>
        <v>0</v>
      </c>
      <c r="AL12" s="49">
        <f t="shared" si="22"/>
        <v>0</v>
      </c>
      <c r="AN12" s="134">
        <f t="shared" si="23"/>
        <v>0</v>
      </c>
      <c r="AO12" s="148"/>
      <c r="AP12" s="134">
        <f t="shared" si="24"/>
      </c>
      <c r="AQ12" s="190"/>
      <c r="AR12" s="191"/>
      <c r="AS12" s="192">
        <f t="shared" si="25"/>
      </c>
      <c r="BL12" s="49">
        <f>IF(AND(COUNTIF(L10:L10:L10:$L$33,L10)=1,F10+G10&gt;0),L10&amp;"-","")</f>
      </c>
    </row>
    <row r="13" spans="3:64" ht="10.5">
      <c r="C13" s="63">
        <v>11</v>
      </c>
      <c r="D13" s="86" t="str">
        <f>IF(D7="Spieler 2","Verlierer 5",IF(E7="Spieler 10","Verlierer 5",IF(D7=E7,"Freilos",IF(E7="Freilos",E7,IF(D7="Freilos",D7,IF(F7&gt;G7,E7,IF(G7&gt;F7,D7,"Verlierer 5")))))))</f>
        <v>Verlierer 5</v>
      </c>
      <c r="E13" s="87" t="str">
        <f>IF(D8="Spieler 6","Verlierer 6",IF(E8="Spieler 14","Verlierer 6",IF(D8=E8,"Freilos",IF(E8="Freilos",E8,IF(D8="Freilos",D8,IF(F8&gt;G8,E8,IF(G8&gt;F8,D8,"Verlierer 6")))))))</f>
        <v>Verlierer 6</v>
      </c>
      <c r="F13" s="88"/>
      <c r="G13" s="89"/>
      <c r="H13" s="90"/>
      <c r="I13" s="89"/>
      <c r="J13" s="88"/>
      <c r="K13" s="91"/>
      <c r="L13" s="185"/>
      <c r="M13" s="85">
        <f>IF(F13&gt;G13,E13,IF(F13&lt;G13,D13,""))</f>
      </c>
      <c r="N13" s="49">
        <f t="shared" si="0"/>
        <v>0</v>
      </c>
      <c r="O13" s="49">
        <f t="shared" si="1"/>
        <v>0</v>
      </c>
      <c r="P13" s="49">
        <f t="shared" si="2"/>
        <v>0</v>
      </c>
      <c r="Q13" s="49">
        <f t="shared" si="3"/>
        <v>0</v>
      </c>
      <c r="R13" s="49">
        <f t="shared" si="4"/>
        <v>0</v>
      </c>
      <c r="S13" s="49">
        <f t="shared" si="5"/>
        <v>0</v>
      </c>
      <c r="T13" s="49">
        <f t="shared" si="11"/>
        <v>0</v>
      </c>
      <c r="U13" s="146">
        <f t="shared" si="12"/>
        <v>0</v>
      </c>
      <c r="V13" s="49">
        <v>11</v>
      </c>
      <c r="W13" s="49" t="str">
        <f>IF(Auslosung_Turnierdaten!F19="","Spieler 11",Auslosung_Turnierdaten!F19)</f>
        <v>Spieler 11</v>
      </c>
      <c r="X13" s="49">
        <f t="shared" si="6"/>
        <v>0</v>
      </c>
      <c r="Y13" s="49">
        <f t="shared" si="7"/>
        <v>0</v>
      </c>
      <c r="Z13" s="49">
        <f t="shared" si="8"/>
        <v>0</v>
      </c>
      <c r="AA13" s="49">
        <f t="shared" si="13"/>
        <v>0</v>
      </c>
      <c r="AB13" s="49">
        <f t="shared" si="9"/>
        <v>0</v>
      </c>
      <c r="AC13" s="49">
        <f t="shared" si="14"/>
        <v>0</v>
      </c>
      <c r="AD13" s="49">
        <f t="shared" si="15"/>
        <v>0</v>
      </c>
      <c r="AE13" s="147">
        <f t="shared" si="16"/>
        <v>0</v>
      </c>
      <c r="AF13" s="49">
        <f t="shared" si="17"/>
        <v>0</v>
      </c>
      <c r="AG13" s="147">
        <f t="shared" si="18"/>
        <v>0</v>
      </c>
      <c r="AH13" s="147">
        <f t="shared" si="10"/>
        <v>0</v>
      </c>
      <c r="AI13" s="49">
        <f t="shared" si="19"/>
        <v>0</v>
      </c>
      <c r="AJ13" s="49">
        <f t="shared" si="20"/>
        <v>0</v>
      </c>
      <c r="AK13" s="49">
        <f t="shared" si="21"/>
        <v>0</v>
      </c>
      <c r="AL13" s="49">
        <f t="shared" si="22"/>
        <v>0</v>
      </c>
      <c r="AN13" s="134">
        <f t="shared" si="23"/>
        <v>0</v>
      </c>
      <c r="AO13" s="148"/>
      <c r="AP13" s="134">
        <f t="shared" si="24"/>
      </c>
      <c r="AQ13" s="190"/>
      <c r="AR13" s="191"/>
      <c r="AS13" s="192">
        <f t="shared" si="25"/>
      </c>
      <c r="BL13" s="49">
        <f>IF(AND(COUNTIF(L11:L11:L11:$L$33,L11)=1,F11+G11&gt;0),L11&amp;"-","")</f>
      </c>
    </row>
    <row r="14" spans="1:64" ht="11.25" thickBot="1">
      <c r="A14" s="85"/>
      <c r="C14" s="72">
        <v>12</v>
      </c>
      <c r="D14" s="92" t="str">
        <f>IF(D9="Spieler 4","Verlierer 7",IF(E9="Spieler 12","Verlierer 7",IF(D9=E9,"Freilos",IF(E9="Freilos",E9,IF(D9="Freilos",D9,IF(F9&gt;G9,E9,IF(G9&gt;F9,D9,"Verlierer 7")))))))</f>
        <v>Verlierer 7</v>
      </c>
      <c r="E14" s="93" t="str">
        <f>IF(D10="Spieler 8","Verlierer 8",IF(E10="Spieler 16","Verlierer 8",IF(D10=E10,"Freilos",IF(E10="Freilos",E10,IF(D10="Freilos",D10,IF(F10&gt;G10,E10,IF(G10&gt;F10,D10,"Verlierer 8")))))))</f>
        <v>Verlierer 8</v>
      </c>
      <c r="F14" s="96"/>
      <c r="G14" s="95"/>
      <c r="H14" s="94"/>
      <c r="I14" s="95"/>
      <c r="J14" s="96"/>
      <c r="K14" s="97"/>
      <c r="L14" s="185"/>
      <c r="M14" s="85">
        <f>IF(F14&gt;G14,E14,IF(F14&lt;G14,D14,""))</f>
      </c>
      <c r="N14" s="49">
        <f t="shared" si="0"/>
        <v>0</v>
      </c>
      <c r="O14" s="49">
        <f t="shared" si="1"/>
        <v>0</v>
      </c>
      <c r="P14" s="49">
        <f t="shared" si="2"/>
        <v>0</v>
      </c>
      <c r="Q14" s="49">
        <f t="shared" si="3"/>
        <v>0</v>
      </c>
      <c r="R14" s="49">
        <f t="shared" si="4"/>
        <v>0</v>
      </c>
      <c r="S14" s="49">
        <f t="shared" si="5"/>
        <v>0</v>
      </c>
      <c r="T14" s="49">
        <f t="shared" si="11"/>
        <v>0</v>
      </c>
      <c r="U14" s="146">
        <f t="shared" si="12"/>
        <v>0</v>
      </c>
      <c r="V14" s="49">
        <v>12</v>
      </c>
      <c r="W14" s="49" t="str">
        <f>IF(Auslosung_Turnierdaten!F20="","Spieler 12",Auslosung_Turnierdaten!F20)</f>
        <v>Spieler 12</v>
      </c>
      <c r="X14" s="49">
        <f t="shared" si="6"/>
        <v>0</v>
      </c>
      <c r="Y14" s="49">
        <f t="shared" si="7"/>
        <v>0</v>
      </c>
      <c r="Z14" s="49">
        <f t="shared" si="8"/>
        <v>0</v>
      </c>
      <c r="AA14" s="49">
        <f t="shared" si="13"/>
        <v>0</v>
      </c>
      <c r="AB14" s="49">
        <f t="shared" si="9"/>
        <v>0</v>
      </c>
      <c r="AC14" s="49">
        <f t="shared" si="14"/>
        <v>0</v>
      </c>
      <c r="AD14" s="49">
        <f t="shared" si="15"/>
        <v>0</v>
      </c>
      <c r="AE14" s="147">
        <f t="shared" si="16"/>
        <v>0</v>
      </c>
      <c r="AF14" s="49">
        <f t="shared" si="17"/>
        <v>0</v>
      </c>
      <c r="AG14" s="147">
        <f t="shared" si="18"/>
        <v>0</v>
      </c>
      <c r="AH14" s="147">
        <f t="shared" si="10"/>
        <v>0</v>
      </c>
      <c r="AI14" s="49">
        <f t="shared" si="19"/>
        <v>0</v>
      </c>
      <c r="AJ14" s="49">
        <f t="shared" si="20"/>
        <v>0</v>
      </c>
      <c r="AK14" s="49">
        <f t="shared" si="21"/>
        <v>0</v>
      </c>
      <c r="AL14" s="49">
        <f t="shared" si="22"/>
        <v>0</v>
      </c>
      <c r="AN14" s="134">
        <f t="shared" si="23"/>
        <v>0</v>
      </c>
      <c r="AO14" s="148"/>
      <c r="AP14" s="134">
        <f t="shared" si="24"/>
      </c>
      <c r="AQ14" s="190"/>
      <c r="AR14" s="191"/>
      <c r="AS14" s="192">
        <f t="shared" si="25"/>
      </c>
      <c r="BL14" s="49">
        <f>IF(AND(COUNTIF(L12:L12:L12:$L$33,L12)=1,F12+G12&gt;0),L12&amp;"-","")</f>
      </c>
    </row>
    <row r="15" spans="2:64" ht="11.25" thickBot="1">
      <c r="B15" s="54" t="s">
        <v>42</v>
      </c>
      <c r="C15" s="55">
        <v>13</v>
      </c>
      <c r="D15" s="56" t="str">
        <f>IF(D3="Spieler 1","Sieger 1",IF(E3="Spieler 9","Sieger 1",IF(D3=E3,"Freilos",IF(E3="Freilos",D3,IF(D3="Freilos",E3,IF(F3&gt;G3,D3,IF(G3&gt;F3,E3,"Sieger 1")))))))</f>
        <v>Sieger 1</v>
      </c>
      <c r="E15" s="57" t="str">
        <f>IF(D4="Spieler 5","Sieger 2",IF(E4="Spieler 13","Sieger 2",IF(D4=E4,"Freilos",IF(E4="Freilos",D4,IF(D4="Freilos",E4,IF(F4&gt;G4,D4,IF(G4&gt;F4,E4,"Sieger 2")))))))</f>
        <v>Sieger 2</v>
      </c>
      <c r="F15" s="58"/>
      <c r="G15" s="59"/>
      <c r="H15" s="60"/>
      <c r="I15" s="59"/>
      <c r="J15" s="58"/>
      <c r="K15" s="61"/>
      <c r="L15" s="185"/>
      <c r="M15" s="196"/>
      <c r="N15" s="49">
        <f t="shared" si="0"/>
        <v>0</v>
      </c>
      <c r="O15" s="49">
        <f t="shared" si="1"/>
        <v>0</v>
      </c>
      <c r="P15" s="49">
        <f t="shared" si="2"/>
        <v>0</v>
      </c>
      <c r="Q15" s="49">
        <f t="shared" si="3"/>
        <v>0</v>
      </c>
      <c r="R15" s="49">
        <f t="shared" si="4"/>
        <v>0</v>
      </c>
      <c r="S15" s="49">
        <f t="shared" si="5"/>
        <v>0</v>
      </c>
      <c r="T15" s="49">
        <f>IF(E15="Freilos",6,IF(F15&gt;G15,6,0))</f>
        <v>0</v>
      </c>
      <c r="U15" s="146">
        <f>IF(D15="Freilos",6,IF(G15&gt;F15,6,0))</f>
        <v>0</v>
      </c>
      <c r="V15" s="49">
        <v>13</v>
      </c>
      <c r="W15" s="49" t="str">
        <f>IF(Auslosung_Turnierdaten!F21="","Spieler 13",Auslosung_Turnierdaten!F21)</f>
        <v>Spieler 13</v>
      </c>
      <c r="X15" s="49">
        <f t="shared" si="6"/>
        <v>0</v>
      </c>
      <c r="Y15" s="49">
        <f t="shared" si="7"/>
        <v>0</v>
      </c>
      <c r="Z15" s="49">
        <f t="shared" si="8"/>
        <v>0</v>
      </c>
      <c r="AA15" s="49">
        <f t="shared" si="13"/>
        <v>0</v>
      </c>
      <c r="AB15" s="49">
        <f t="shared" si="9"/>
        <v>0</v>
      </c>
      <c r="AC15" s="49">
        <f t="shared" si="14"/>
        <v>0</v>
      </c>
      <c r="AD15" s="49">
        <f t="shared" si="15"/>
        <v>0</v>
      </c>
      <c r="AE15" s="147">
        <f t="shared" si="16"/>
        <v>0</v>
      </c>
      <c r="AF15" s="49">
        <f t="shared" si="17"/>
        <v>0</v>
      </c>
      <c r="AG15" s="147">
        <f t="shared" si="18"/>
        <v>0</v>
      </c>
      <c r="AH15" s="147">
        <f t="shared" si="10"/>
        <v>0</v>
      </c>
      <c r="AI15" s="49">
        <f t="shared" si="19"/>
        <v>0</v>
      </c>
      <c r="AJ15" s="49">
        <f t="shared" si="20"/>
        <v>0</v>
      </c>
      <c r="AK15" s="49">
        <f t="shared" si="21"/>
        <v>0</v>
      </c>
      <c r="AL15" s="49">
        <f t="shared" si="22"/>
        <v>0</v>
      </c>
      <c r="AN15" s="134">
        <f t="shared" si="23"/>
        <v>0</v>
      </c>
      <c r="AO15" s="148"/>
      <c r="AP15" s="134">
        <f t="shared" si="24"/>
      </c>
      <c r="AQ15" s="190"/>
      <c r="AR15" s="191"/>
      <c r="AS15" s="192">
        <f t="shared" si="25"/>
      </c>
      <c r="BL15" s="49">
        <f>IF(AND(COUNTIF(L13:L13:L13:$L$33,L13)=1,F13+G13&gt;0),L13&amp;"-","")</f>
      </c>
    </row>
    <row r="16" spans="3:64" ht="10.5">
      <c r="C16" s="63">
        <v>14</v>
      </c>
      <c r="D16" s="64" t="str">
        <f>IF(D5="Spieler 3","Sieger 3",IF(E5="Spieler 11","Sieger 3",IF(D5=E5,"Freilos",IF(E5="Freilos",D5,IF(D5="Freilos",E5,IF(F5&gt;G5,D5,IF(G5&gt;F5,E5,"Sieger 3")))))))</f>
        <v>Sieger 3</v>
      </c>
      <c r="E16" s="65" t="str">
        <f>IF(D6="Spieler 7","Sieger 4",IF(E6="Spieler 15","Sieger 4",IF(D6=E6,"Freilos",IF(E6="Freilos",D6,IF(D6="Freilos",E6,IF(F6&gt;G6,D6,IF(G6&gt;F6,E6,"Sieger 4")))))))</f>
        <v>Sieger 4</v>
      </c>
      <c r="F16" s="66"/>
      <c r="G16" s="67"/>
      <c r="H16" s="68"/>
      <c r="I16" s="67"/>
      <c r="J16" s="66"/>
      <c r="K16" s="69"/>
      <c r="L16" s="185"/>
      <c r="M16" s="196"/>
      <c r="N16" s="49">
        <f t="shared" si="0"/>
        <v>0</v>
      </c>
      <c r="O16" s="49">
        <f t="shared" si="1"/>
        <v>0</v>
      </c>
      <c r="P16" s="49">
        <f t="shared" si="2"/>
        <v>0</v>
      </c>
      <c r="Q16" s="49">
        <f t="shared" si="3"/>
        <v>0</v>
      </c>
      <c r="R16" s="49">
        <f t="shared" si="4"/>
        <v>0</v>
      </c>
      <c r="S16" s="49">
        <f t="shared" si="5"/>
        <v>0</v>
      </c>
      <c r="T16" s="49">
        <f>IF(E16="Freilos",6,IF(F16&gt;G16,6,0))</f>
        <v>0</v>
      </c>
      <c r="U16" s="146">
        <f>IF(D16="Freilos",6,IF(G16&gt;F16,6,0))</f>
        <v>0</v>
      </c>
      <c r="V16" s="49">
        <v>14</v>
      </c>
      <c r="W16" s="49" t="str">
        <f>IF(Auslosung_Turnierdaten!F22="","Spieler 14",Auslosung_Turnierdaten!F22)</f>
        <v>Spieler 14</v>
      </c>
      <c r="X16" s="49">
        <f t="shared" si="6"/>
        <v>0</v>
      </c>
      <c r="Y16" s="49">
        <f t="shared" si="7"/>
        <v>0</v>
      </c>
      <c r="Z16" s="49">
        <f t="shared" si="8"/>
        <v>0</v>
      </c>
      <c r="AA16" s="49">
        <f t="shared" si="13"/>
        <v>0</v>
      </c>
      <c r="AB16" s="49">
        <f t="shared" si="9"/>
        <v>0</v>
      </c>
      <c r="AC16" s="49">
        <f t="shared" si="14"/>
        <v>0</v>
      </c>
      <c r="AD16" s="49">
        <f t="shared" si="15"/>
        <v>0</v>
      </c>
      <c r="AE16" s="147">
        <f t="shared" si="16"/>
        <v>0</v>
      </c>
      <c r="AF16" s="49">
        <f t="shared" si="17"/>
        <v>0</v>
      </c>
      <c r="AG16" s="147">
        <f t="shared" si="18"/>
        <v>0</v>
      </c>
      <c r="AH16" s="147">
        <f t="shared" si="10"/>
        <v>0</v>
      </c>
      <c r="AI16" s="49">
        <f t="shared" si="19"/>
        <v>0</v>
      </c>
      <c r="AJ16" s="49">
        <f t="shared" si="20"/>
        <v>0</v>
      </c>
      <c r="AK16" s="49">
        <f t="shared" si="21"/>
        <v>0</v>
      </c>
      <c r="AL16" s="49">
        <f t="shared" si="22"/>
        <v>0</v>
      </c>
      <c r="AN16" s="134">
        <f t="shared" si="23"/>
        <v>0</v>
      </c>
      <c r="AO16" s="148"/>
      <c r="AP16" s="134">
        <f t="shared" si="24"/>
      </c>
      <c r="AQ16" s="190"/>
      <c r="AR16" s="191"/>
      <c r="AS16" s="192">
        <f t="shared" si="25"/>
      </c>
      <c r="BL16" s="49">
        <f>IF(AND(COUNTIF(L14:L14:L14:$L$33,L14)=1,F14+G14&gt;0),L14&amp;"-","")</f>
      </c>
    </row>
    <row r="17" spans="3:64" ht="10.5">
      <c r="C17" s="63">
        <v>15</v>
      </c>
      <c r="D17" s="64" t="str">
        <f>IF(D7="Spieler 2","Sieger 5",IF(E7="Spieler 10","Sieger 5",IF(D7=E7,"Freilos",IF(E7="Freilos",D7,IF(D7="Freilos",E7,IF(F7&gt;G7,D7,IF(G7&gt;F7,E7,"Sieger 5")))))))</f>
        <v>Sieger 5</v>
      </c>
      <c r="E17" s="65" t="str">
        <f>IF(D8="Spieler 6","Sieger 6",IF(E8="Spieler 14","Sieger 6",IF(D8=E8,"Freilos",IF(E8="Freilos",D8,IF(D8="Freilos",E8,IF(F8&gt;G8,D8,IF(G8&gt;F8,E8,"Sieger 6")))))))</f>
        <v>Sieger 6</v>
      </c>
      <c r="F17" s="66"/>
      <c r="G17" s="67"/>
      <c r="H17" s="68"/>
      <c r="I17" s="67"/>
      <c r="J17" s="66"/>
      <c r="K17" s="69"/>
      <c r="L17" s="185"/>
      <c r="M17" s="197"/>
      <c r="N17" s="49">
        <f t="shared" si="0"/>
        <v>0</v>
      </c>
      <c r="O17" s="49">
        <f t="shared" si="1"/>
        <v>0</v>
      </c>
      <c r="P17" s="49">
        <f t="shared" si="2"/>
        <v>0</v>
      </c>
      <c r="Q17" s="49">
        <f t="shared" si="3"/>
        <v>0</v>
      </c>
      <c r="R17" s="49">
        <f t="shared" si="4"/>
        <v>0</v>
      </c>
      <c r="S17" s="49">
        <f t="shared" si="5"/>
        <v>0</v>
      </c>
      <c r="T17" s="49">
        <f>IF(E17="Freilos",6,IF(F17&gt;G17,6,0))</f>
        <v>0</v>
      </c>
      <c r="U17" s="146">
        <f>IF(D17="Freilos",6,IF(G17&gt;F17,6,0))</f>
        <v>0</v>
      </c>
      <c r="V17" s="49">
        <v>15</v>
      </c>
      <c r="W17" s="49" t="str">
        <f>IF(Auslosung_Turnierdaten!F23="","Spieler 15",Auslosung_Turnierdaten!F23)</f>
        <v>Spieler 15</v>
      </c>
      <c r="X17" s="49">
        <f t="shared" si="6"/>
        <v>0</v>
      </c>
      <c r="Y17" s="49">
        <f t="shared" si="7"/>
        <v>0</v>
      </c>
      <c r="Z17" s="49">
        <f t="shared" si="8"/>
        <v>0</v>
      </c>
      <c r="AA17" s="49">
        <f t="shared" si="13"/>
        <v>0</v>
      </c>
      <c r="AB17" s="49">
        <f t="shared" si="9"/>
        <v>0</v>
      </c>
      <c r="AC17" s="49">
        <f t="shared" si="14"/>
        <v>0</v>
      </c>
      <c r="AD17" s="49">
        <f t="shared" si="15"/>
        <v>0</v>
      </c>
      <c r="AE17" s="147">
        <f t="shared" si="16"/>
        <v>0</v>
      </c>
      <c r="AF17" s="49">
        <f t="shared" si="17"/>
        <v>0</v>
      </c>
      <c r="AG17" s="147">
        <f t="shared" si="18"/>
        <v>0</v>
      </c>
      <c r="AH17" s="147">
        <f t="shared" si="10"/>
        <v>0</v>
      </c>
      <c r="AI17" s="49">
        <f t="shared" si="19"/>
        <v>0</v>
      </c>
      <c r="AJ17" s="49">
        <f t="shared" si="20"/>
        <v>0</v>
      </c>
      <c r="AK17" s="49">
        <f t="shared" si="21"/>
        <v>0</v>
      </c>
      <c r="AL17" s="49">
        <f t="shared" si="22"/>
        <v>0</v>
      </c>
      <c r="AN17" s="134">
        <f t="shared" si="23"/>
        <v>0</v>
      </c>
      <c r="AO17" s="148"/>
      <c r="AP17" s="134">
        <f t="shared" si="24"/>
      </c>
      <c r="AQ17" s="190"/>
      <c r="AR17" s="191"/>
      <c r="AS17" s="192">
        <f t="shared" si="25"/>
      </c>
      <c r="BL17" s="49">
        <f>IF(AND(COUNTIF(L15:L15:L15:$L$33,L15)=1,F15+G15&gt;0),L15&amp;"-","")</f>
      </c>
    </row>
    <row r="18" spans="3:64" ht="11.25" thickBot="1">
      <c r="C18" s="72">
        <v>16</v>
      </c>
      <c r="D18" s="73" t="str">
        <f>IF(D9="Spieler 4","Sieger 7",IF(E9="Spieler 12","Sieger 7",IF(D9=E9,"Freilos",IF(E9="Freilos",D9,IF(D9="Freilos",E9,IF(F9&gt;G9,D9,IF(G9&gt;F9,E9,"Sieger 7")))))))</f>
        <v>Sieger 7</v>
      </c>
      <c r="E18" s="74" t="str">
        <f>IF(D10="Spieler 8","Sieger 8",IF(E10="Spieler 16","Sieger 8",IF(D10=E10,"Freilos",IF(E10="Freilos",D10,IF(D10="Freilos",E10,IF(F10&gt;G10,D10,IF(G10&gt;F10,E10,"Sieger 8")))))))</f>
        <v>Sieger 8</v>
      </c>
      <c r="F18" s="77"/>
      <c r="G18" s="76"/>
      <c r="H18" s="75"/>
      <c r="I18" s="76"/>
      <c r="J18" s="77"/>
      <c r="K18" s="78"/>
      <c r="L18" s="185"/>
      <c r="M18" s="196"/>
      <c r="N18" s="49">
        <f t="shared" si="0"/>
        <v>0</v>
      </c>
      <c r="O18" s="49">
        <f t="shared" si="1"/>
        <v>0</v>
      </c>
      <c r="P18" s="49">
        <f t="shared" si="2"/>
        <v>0</v>
      </c>
      <c r="Q18" s="49">
        <f t="shared" si="3"/>
        <v>0</v>
      </c>
      <c r="R18" s="49">
        <f t="shared" si="4"/>
        <v>0</v>
      </c>
      <c r="S18" s="49">
        <f t="shared" si="5"/>
        <v>0</v>
      </c>
      <c r="T18" s="49">
        <f>IF(E18="Freilos",6,IF(F18&gt;G18,6,0))</f>
        <v>0</v>
      </c>
      <c r="U18" s="146">
        <f>IF(D18="Freilos",6,IF(G18&gt;F18,6,0))</f>
        <v>0</v>
      </c>
      <c r="V18" s="49">
        <v>16</v>
      </c>
      <c r="W18" s="49" t="str">
        <f>IF(Auslosung_Turnierdaten!F24="","Spieler 16",Auslosung_Turnierdaten!F24)</f>
        <v>Spieler 16</v>
      </c>
      <c r="X18" s="49">
        <f t="shared" si="6"/>
        <v>0</v>
      </c>
      <c r="Y18" s="49">
        <f t="shared" si="7"/>
        <v>0</v>
      </c>
      <c r="Z18" s="49">
        <f t="shared" si="8"/>
        <v>0</v>
      </c>
      <c r="AA18" s="49">
        <f t="shared" si="13"/>
        <v>0</v>
      </c>
      <c r="AB18" s="49">
        <f t="shared" si="9"/>
        <v>0</v>
      </c>
      <c r="AC18" s="49">
        <f t="shared" si="14"/>
        <v>0</v>
      </c>
      <c r="AD18" s="49">
        <f t="shared" si="15"/>
        <v>0</v>
      </c>
      <c r="AE18" s="147">
        <f t="shared" si="16"/>
        <v>0</v>
      </c>
      <c r="AF18" s="49">
        <f t="shared" si="17"/>
        <v>0</v>
      </c>
      <c r="AG18" s="147">
        <f t="shared" si="18"/>
        <v>0</v>
      </c>
      <c r="AH18" s="147">
        <f t="shared" si="10"/>
        <v>0</v>
      </c>
      <c r="AI18" s="49">
        <f t="shared" si="19"/>
        <v>0</v>
      </c>
      <c r="AJ18" s="49">
        <f t="shared" si="20"/>
        <v>0</v>
      </c>
      <c r="AK18" s="49">
        <f t="shared" si="21"/>
        <v>0</v>
      </c>
      <c r="AL18" s="49">
        <f t="shared" si="22"/>
        <v>0</v>
      </c>
      <c r="AN18" s="134">
        <f t="shared" si="23"/>
        <v>0</v>
      </c>
      <c r="AO18" s="148"/>
      <c r="AP18" s="134">
        <f t="shared" si="24"/>
      </c>
      <c r="AQ18" s="190"/>
      <c r="AR18" s="191"/>
      <c r="AS18" s="192">
        <f t="shared" si="25"/>
      </c>
      <c r="BL18" s="49">
        <f>IF(AND(COUNTIF(L16:L16:L16:$L$33,L16)=1,F16+G16&gt;0),L16&amp;"-","")</f>
      </c>
    </row>
    <row r="19" spans="2:64" ht="11.25" thickBot="1">
      <c r="B19" s="51" t="s">
        <v>43</v>
      </c>
      <c r="C19" s="55">
        <v>17</v>
      </c>
      <c r="D19" s="79" t="str">
        <f>IF(D11="Verlierer 1","Sieger 9",IF(E11="Verlierer 2","Sieger 9",IF(D11=E11,"Freilos",IF(E11="Freilos",D11,IF(D11="Freilos",E11,IF(F11&gt;G11,D11,IF(G11&gt;F11,E11,"Sieger 9")))))))</f>
        <v>Sieger 9</v>
      </c>
      <c r="E19" s="80" t="str">
        <f>IF(D18="Sieger 7","Verlierer 16",IF(E18="Sieger 8","Verlierer 16",IF(D18=E18,"Freilos",IF(E18="Freilos",E18,IF(D18="Freilos",D18,IF(F18&gt;G18,E18,IF(G18&gt;F18,D18,"Verlierer 16")))))))</f>
        <v>Verlierer 16</v>
      </c>
      <c r="F19" s="81"/>
      <c r="G19" s="82"/>
      <c r="H19" s="83"/>
      <c r="I19" s="82"/>
      <c r="J19" s="81"/>
      <c r="K19" s="84"/>
      <c r="L19" s="185"/>
      <c r="M19" s="85">
        <f aca="true" t="shared" si="26" ref="M19:M24">IF(F19&gt;G19,E19,IF(F19&lt;G19,D19,""))</f>
      </c>
      <c r="N19" s="49">
        <f t="shared" si="0"/>
        <v>0</v>
      </c>
      <c r="O19" s="49">
        <f t="shared" si="1"/>
        <v>0</v>
      </c>
      <c r="P19" s="49">
        <f t="shared" si="2"/>
        <v>0</v>
      </c>
      <c r="Q19" s="49">
        <f t="shared" si="3"/>
        <v>0</v>
      </c>
      <c r="R19" s="49">
        <f t="shared" si="4"/>
        <v>0</v>
      </c>
      <c r="S19" s="49">
        <f t="shared" si="5"/>
        <v>0</v>
      </c>
      <c r="T19" s="49">
        <f aca="true" t="shared" si="27" ref="T19:T24">IF(E19="Freilos",3,IF(F19&gt;G19,3,0))</f>
        <v>0</v>
      </c>
      <c r="U19" s="146">
        <f aca="true" t="shared" si="28" ref="U19:U24">IF(D19="Freilos",3,IF(G19&gt;F19,3,0))</f>
        <v>0</v>
      </c>
      <c r="X19" s="98" t="s">
        <v>39</v>
      </c>
      <c r="Y19" s="99" t="s">
        <v>3</v>
      </c>
      <c r="Z19" s="100" t="s">
        <v>4</v>
      </c>
      <c r="AA19" s="100" t="s">
        <v>8</v>
      </c>
      <c r="AB19" s="100" t="s">
        <v>9</v>
      </c>
      <c r="AC19" s="100" t="s">
        <v>10</v>
      </c>
      <c r="AD19" s="100" t="s">
        <v>11</v>
      </c>
      <c r="AE19" s="100" t="s">
        <v>12</v>
      </c>
      <c r="AF19" s="100" t="str">
        <f>IF(SUM(SP16!AF3:SP16!AI18)&gt;0,"Points","GSp")</f>
        <v>GSp</v>
      </c>
      <c r="AG19" s="100" t="str">
        <f>IF(SUM(SP16!AF3:SP16!AI18)&gt;0,"Aufn","VSp")</f>
        <v>VSp</v>
      </c>
      <c r="AH19" s="101" t="str">
        <f>IF(SUM(SP16!AF3:SP16!AI18)&gt;0,"GD","Quot")</f>
        <v>Quot</v>
      </c>
      <c r="AI19" s="102">
        <f>IF(SUM(SP16!AF3:SP16!AI18)&gt;0,"BED","")</f>
      </c>
      <c r="AJ19" s="103">
        <f>IF(SUM(SP16!AF3:SP16!AI18)&gt;0,"HS","")</f>
      </c>
      <c r="AN19" s="134">
        <f t="shared" si="23"/>
        <v>0</v>
      </c>
      <c r="AO19" s="148"/>
      <c r="AP19" s="134">
        <f t="shared" si="24"/>
      </c>
      <c r="AQ19" s="190"/>
      <c r="AR19" s="191"/>
      <c r="AS19" s="192">
        <f t="shared" si="25"/>
      </c>
      <c r="BL19" s="49">
        <f>IF(AND(COUNTIF(L17:L17:L17:$L$33,L17)=1,F17+G17&gt;0),L17&amp;"-","")</f>
      </c>
    </row>
    <row r="20" spans="3:64" ht="10.5">
      <c r="C20" s="63">
        <v>18</v>
      </c>
      <c r="D20" s="86" t="str">
        <f>IF(D12="Verlierer 3","Sieger 10",IF(E12="Verlierer 4","Sieger 10",IF(D12=E12,"Freilos",IF(E12="Freilos",D12,IF(D12="Freilos",E12,IF(F12&gt;G12,D12,IF(G12&gt;F12,E12,"Sieger 10")))))))</f>
        <v>Sieger 10</v>
      </c>
      <c r="E20" s="87" t="str">
        <f>IF(D17="Sieger 5","Verlierer 15",IF(E17="Sieger 6","Verlierer 15",IF(D17=E17,"Freilos",IF(E17="Freilos",E17,IF(D17="Freilos",D17,IF(F17&gt;G17,E17,IF(G17&gt;F17,D17,"Verlierer 15")))))))</f>
        <v>Verlierer 15</v>
      </c>
      <c r="F20" s="88"/>
      <c r="G20" s="89"/>
      <c r="H20" s="90"/>
      <c r="I20" s="89"/>
      <c r="J20" s="88"/>
      <c r="K20" s="91"/>
      <c r="L20" s="185"/>
      <c r="M20" s="85">
        <f t="shared" si="26"/>
      </c>
      <c r="N20" s="49">
        <f t="shared" si="0"/>
        <v>0</v>
      </c>
      <c r="O20" s="49">
        <f t="shared" si="1"/>
        <v>0</v>
      </c>
      <c r="P20" s="49">
        <f t="shared" si="2"/>
        <v>0</v>
      </c>
      <c r="Q20" s="49">
        <f t="shared" si="3"/>
        <v>0</v>
      </c>
      <c r="R20" s="49">
        <f t="shared" si="4"/>
        <v>0</v>
      </c>
      <c r="S20" s="49">
        <f t="shared" si="5"/>
        <v>0</v>
      </c>
      <c r="T20" s="49">
        <f t="shared" si="27"/>
        <v>0</v>
      </c>
      <c r="U20" s="146">
        <f t="shared" si="28"/>
        <v>0</v>
      </c>
      <c r="X20" s="104">
        <f>IF(Auslosung_Turnierdaten!F9="","",1)</f>
      </c>
      <c r="Y20" s="105">
        <f>IF(SP16!X20="","",Auslosung_Turnierdaten!F9)</f>
      </c>
      <c r="Z20" s="106">
        <f>IF(SP16!X20="","",Auslosung_Turnierdaten!G9)</f>
      </c>
      <c r="AA20" s="106">
        <f>IF(SP16!X20="","",Auslosung_Turnierdaten!H9)</f>
      </c>
      <c r="AB20" s="106">
        <f>IF(SP16!X20="","",Auslosung_Turnierdaten!I9)</f>
      </c>
      <c r="AC20" s="107">
        <f>IF(SP16!X20="","",SP16!X3)</f>
      </c>
      <c r="AD20" s="107">
        <f>IF(SP16!X20="","",SP16!Z3)</f>
      </c>
      <c r="AE20" s="107">
        <f>IF(SP16!X20="","",SP16!AA3)</f>
      </c>
      <c r="AF20" s="107">
        <f>IF(SP16!X20="","",SP16!AC3)</f>
      </c>
      <c r="AG20" s="107">
        <f>IF(SP16!X20="","",IF($AG$19="VSp",SP16!AD3,SP16!AF3))</f>
      </c>
      <c r="AH20" s="108">
        <f>IF(SP16!X20="","",IF($AH$19="Quot",SP16!AE3,SP16!AG3))</f>
      </c>
      <c r="AI20" s="108">
        <f>IF($AI$19="BED",SP16!AH3,"")</f>
      </c>
      <c r="AJ20" s="113">
        <f>IF($AJ$19="HS",SP16!AI3,"")</f>
      </c>
      <c r="AN20" s="134">
        <f t="shared" si="23"/>
        <v>0</v>
      </c>
      <c r="AO20" s="148"/>
      <c r="AP20" s="134">
        <f t="shared" si="24"/>
      </c>
      <c r="AQ20" s="190"/>
      <c r="AR20" s="191"/>
      <c r="AS20" s="192">
        <f t="shared" si="25"/>
      </c>
      <c r="BL20" s="49">
        <f>IF(AND(COUNTIF(L18:L18:L18:$L$33,L18)=1,F18+G18&gt;0),L18&amp;"-","")</f>
      </c>
    </row>
    <row r="21" spans="3:64" ht="10.5">
      <c r="C21" s="63">
        <v>19</v>
      </c>
      <c r="D21" s="86" t="str">
        <f>IF(D13="Verlierer 5","Sieger 11",IF(E13="Verlierer 6","Sieger 11",IF(D13=E13,"Freilos",IF(E13="Freilos",D13,IF(D13="Freilos",E13,IF(F13&gt;G13,D13,IF(G13&gt;F13,E13,"Sieger 11")))))))</f>
        <v>Sieger 11</v>
      </c>
      <c r="E21" s="87" t="str">
        <f>IF(D16="Sieger 3","Verlierer 14",IF(E16="Sieger 4","Verlierer 14",IF(D16=E16,"Freilos",IF(E16="Freilos",E16,IF(D16="Freilos",D16,IF(F16&gt;G16,E16,IF(G16&gt;F16,D16,"Verlierer 14")))))))</f>
        <v>Verlierer 14</v>
      </c>
      <c r="F21" s="88"/>
      <c r="G21" s="89"/>
      <c r="H21" s="90"/>
      <c r="I21" s="89"/>
      <c r="J21" s="88"/>
      <c r="K21" s="91"/>
      <c r="L21" s="185"/>
      <c r="M21" s="85">
        <f t="shared" si="26"/>
      </c>
      <c r="N21" s="49">
        <f t="shared" si="0"/>
        <v>0</v>
      </c>
      <c r="O21" s="49">
        <f t="shared" si="1"/>
        <v>0</v>
      </c>
      <c r="P21" s="49">
        <f t="shared" si="2"/>
        <v>0</v>
      </c>
      <c r="Q21" s="49">
        <f t="shared" si="3"/>
        <v>0</v>
      </c>
      <c r="R21" s="49">
        <f t="shared" si="4"/>
        <v>0</v>
      </c>
      <c r="S21" s="49">
        <f t="shared" si="5"/>
        <v>0</v>
      </c>
      <c r="T21" s="49">
        <f t="shared" si="27"/>
        <v>0</v>
      </c>
      <c r="U21" s="146">
        <f t="shared" si="28"/>
        <v>0</v>
      </c>
      <c r="X21" s="104">
        <f>IF(Auslosung_Turnierdaten!F10="","",2)</f>
      </c>
      <c r="Y21" s="109">
        <f>IF(SP16!X21="","",Auslosung_Turnierdaten!F10)</f>
      </c>
      <c r="Z21" s="110">
        <f>IF(SP16!X21="","",Auslosung_Turnierdaten!G10)</f>
      </c>
      <c r="AA21" s="110">
        <f>IF(SP16!X21="","",Auslosung_Turnierdaten!H10)</f>
      </c>
      <c r="AB21" s="110">
        <f>IF(SP16!X21="","",Auslosung_Turnierdaten!I10)</f>
      </c>
      <c r="AC21" s="111">
        <f>IF(SP16!X21="","",SP16!X4)</f>
      </c>
      <c r="AD21" s="111">
        <f>IF(SP16!X21="","",SP16!Z4)</f>
      </c>
      <c r="AE21" s="111">
        <f>IF(SP16!X21="","",SP16!AA4)</f>
      </c>
      <c r="AF21" s="111">
        <f>IF(SP16!X21="","",SP16!AC4)</f>
      </c>
      <c r="AG21" s="111">
        <f>IF(SP16!X21="","",IF($AG$19="VSp",SP16!AD4,SP16!AF4))</f>
      </c>
      <c r="AH21" s="112">
        <f>IF(SP16!X21="","",IF($AH$19="Quot",SP16!AE4,SP16!AG4))</f>
      </c>
      <c r="AI21" s="112">
        <f>IF($AI$19="BED",SP16!AH4,"")</f>
      </c>
      <c r="AJ21" s="113">
        <f>IF($AJ$19="HS",SP16!AI4,"")</f>
      </c>
      <c r="AN21" s="134">
        <f t="shared" si="23"/>
        <v>0</v>
      </c>
      <c r="AO21" s="148"/>
      <c r="AP21" s="134">
        <f t="shared" si="24"/>
      </c>
      <c r="AQ21" s="190"/>
      <c r="AR21" s="191"/>
      <c r="AS21" s="192">
        <f t="shared" si="25"/>
      </c>
      <c r="BL21" s="49">
        <f>IF(AND(COUNTIF(L19:L19:L19:$L$33,L19)=1,F19+G19&gt;0),L19&amp;"-","")</f>
      </c>
    </row>
    <row r="22" spans="3:64" ht="11.25" thickBot="1">
      <c r="C22" s="72">
        <v>20</v>
      </c>
      <c r="D22" s="92" t="str">
        <f>IF(D14="Verlierer 7","Sieger 12",IF(E14="Verlierer 8","Sieger 12",IF(D14=E14,"Freilos",IF(E14="Freilos",D14,IF(D14="Freilos",E14,IF(F14&gt;G14,D14,IF(G14&gt;F14,E14,"Sieger 12")))))))</f>
        <v>Sieger 12</v>
      </c>
      <c r="E22" s="93" t="str">
        <f>IF(D15="Sieger 1","Verlierer 13",IF(E15="Sieger 2","Verlierer 13",IF(D15=E15,"Freilos",IF(E15="Freilos",E15,IF(D15="Freilos",D15,IF(F15&gt;G15,E15,IF(G15&gt;F15,D15,"Verlierer 13")))))))</f>
        <v>Verlierer 13</v>
      </c>
      <c r="F22" s="96"/>
      <c r="G22" s="95"/>
      <c r="H22" s="94"/>
      <c r="I22" s="95"/>
      <c r="J22" s="96"/>
      <c r="K22" s="97"/>
      <c r="L22" s="185"/>
      <c r="M22" s="85">
        <f t="shared" si="26"/>
      </c>
      <c r="N22" s="49">
        <f t="shared" si="0"/>
        <v>0</v>
      </c>
      <c r="O22" s="49">
        <f t="shared" si="1"/>
        <v>0</v>
      </c>
      <c r="P22" s="49">
        <f t="shared" si="2"/>
        <v>0</v>
      </c>
      <c r="Q22" s="49">
        <f t="shared" si="3"/>
        <v>0</v>
      </c>
      <c r="R22" s="49">
        <f t="shared" si="4"/>
        <v>0</v>
      </c>
      <c r="S22" s="49">
        <f t="shared" si="5"/>
        <v>0</v>
      </c>
      <c r="T22" s="49">
        <f t="shared" si="27"/>
        <v>0</v>
      </c>
      <c r="U22" s="146">
        <f t="shared" si="28"/>
        <v>0</v>
      </c>
      <c r="X22" s="104">
        <f>IF(Auslosung_Turnierdaten!F11="","",3)</f>
      </c>
      <c r="Y22" s="109">
        <f>IF(SP16!X22="","",Auslosung_Turnierdaten!F11)</f>
      </c>
      <c r="Z22" s="110">
        <f>IF(SP16!X22="","",Auslosung_Turnierdaten!G11)</f>
      </c>
      <c r="AA22" s="110">
        <f>IF(SP16!X22="","",Auslosung_Turnierdaten!H11)</f>
      </c>
      <c r="AB22" s="110">
        <f>IF(SP16!X22="","",Auslosung_Turnierdaten!I11)</f>
      </c>
      <c r="AC22" s="111">
        <f>IF(SP16!X22="","",SP16!X5)</f>
      </c>
      <c r="AD22" s="111">
        <f>IF(SP16!X22="","",SP16!Z5)</f>
      </c>
      <c r="AE22" s="111">
        <f>IF(SP16!X22="","",SP16!AA5)</f>
      </c>
      <c r="AF22" s="111">
        <f>IF(SP16!X22="","",SP16!AC5)</f>
      </c>
      <c r="AG22" s="111">
        <f>IF(SP16!X22="","",IF($AG$19="VSp",SP16!AD5,SP16!AF5))</f>
      </c>
      <c r="AH22" s="112">
        <f>IF(SP16!X22="","",IF($AH$19="Quot",SP16!AE5,SP16!AG5))</f>
      </c>
      <c r="AI22" s="112">
        <f>IF($AI$19="BED",SP16!AH5,"")</f>
      </c>
      <c r="AJ22" s="113">
        <f>IF($AJ$19="HS",SP16!AI5,"")</f>
      </c>
      <c r="AN22" s="134">
        <f t="shared" si="23"/>
        <v>0</v>
      </c>
      <c r="AO22" s="150"/>
      <c r="AP22" s="134">
        <f t="shared" si="24"/>
      </c>
      <c r="AQ22" s="190"/>
      <c r="AR22" s="191"/>
      <c r="AS22" s="192">
        <f t="shared" si="25"/>
      </c>
      <c r="BL22" s="49">
        <f>IF(AND(COUNTIF(L20:L20:L20:$L$33,L20)=1,F20+G20&gt;0),L20&amp;"-","")</f>
      </c>
    </row>
    <row r="23" spans="2:64" ht="11.25" thickBot="1">
      <c r="B23" s="51" t="s">
        <v>44</v>
      </c>
      <c r="C23" s="55">
        <v>21</v>
      </c>
      <c r="D23" s="79" t="str">
        <f>IF(D19="Sieger 9","Sieger 17",IF(E19="Verlierer 16","Sieger 17",IF(D19=E19,"Freilos",IF(E19="Freilos",D19,IF(D19="Freilos",E19,IF(F19&gt;G19,D19,IF(G19&gt;F19,E19,"Sieger 17")))))))</f>
        <v>Sieger 17</v>
      </c>
      <c r="E23" s="80" t="str">
        <f>IF(D20="Sieger 10","Sieger 18",IF(E20="Verlierer 15","Sieger 18",IF(D20=E20,"Freilos",IF(E20="Freilos",D20,IF(D20="Freilos",E20,IF(F20&gt;G20,D20,IF(G20&gt;F20,E20,"Sieger 18")))))))</f>
        <v>Sieger 18</v>
      </c>
      <c r="F23" s="81"/>
      <c r="G23" s="82"/>
      <c r="H23" s="83"/>
      <c r="I23" s="82"/>
      <c r="J23" s="81"/>
      <c r="K23" s="84"/>
      <c r="L23" s="185"/>
      <c r="M23" s="85">
        <f t="shared" si="26"/>
      </c>
      <c r="N23" s="49">
        <f t="shared" si="0"/>
        <v>0</v>
      </c>
      <c r="O23" s="49">
        <f t="shared" si="1"/>
        <v>0</v>
      </c>
      <c r="P23" s="49">
        <f t="shared" si="2"/>
        <v>0</v>
      </c>
      <c r="Q23" s="49">
        <f t="shared" si="3"/>
        <v>0</v>
      </c>
      <c r="R23" s="49">
        <f t="shared" si="4"/>
        <v>0</v>
      </c>
      <c r="S23" s="49">
        <f t="shared" si="5"/>
        <v>0</v>
      </c>
      <c r="T23" s="49">
        <f t="shared" si="27"/>
        <v>0</v>
      </c>
      <c r="U23" s="146">
        <f t="shared" si="28"/>
        <v>0</v>
      </c>
      <c r="X23" s="104">
        <f>IF(Auslosung_Turnierdaten!F12="","",4)</f>
      </c>
      <c r="Y23" s="109">
        <f>IF(SP16!X23="","",Auslosung_Turnierdaten!F12)</f>
      </c>
      <c r="Z23" s="110">
        <f>IF(SP16!X23="","",Auslosung_Turnierdaten!G12)</f>
      </c>
      <c r="AA23" s="110">
        <f>IF(SP16!X23="","",Auslosung_Turnierdaten!H12)</f>
      </c>
      <c r="AB23" s="110">
        <f>IF(SP16!X23="","",Auslosung_Turnierdaten!I12)</f>
      </c>
      <c r="AC23" s="111">
        <f>IF(SP16!X23="","",SP16!X6)</f>
      </c>
      <c r="AD23" s="111">
        <f>IF(SP16!X23="","",SP16!Z6)</f>
      </c>
      <c r="AE23" s="111">
        <f>IF(SP16!X23="","",SP16!AA6)</f>
      </c>
      <c r="AF23" s="111">
        <f>IF(SP16!X23="","",SP16!AC6)</f>
      </c>
      <c r="AG23" s="111">
        <f>IF(SP16!X23="","",IF($AG$19="VSp",SP16!AD6,SP16!AF6))</f>
      </c>
      <c r="AH23" s="112">
        <f>IF(SP16!X23="","",IF($AH$19="Quot",SP16!AE6,SP16!AG6))</f>
      </c>
      <c r="AI23" s="112">
        <f>IF($AI$19="BED",SP16!AH6,"")</f>
      </c>
      <c r="AJ23" s="113">
        <f>IF($AJ$19="HS",SP16!AI6,"")</f>
      </c>
      <c r="AN23" s="134">
        <f t="shared" si="23"/>
        <v>0</v>
      </c>
      <c r="AO23" s="148"/>
      <c r="AP23" s="134">
        <f t="shared" si="24"/>
      </c>
      <c r="AQ23" s="190"/>
      <c r="AR23" s="191"/>
      <c r="AS23" s="192">
        <f t="shared" si="25"/>
      </c>
      <c r="BL23" s="49">
        <f>IF(AND(COUNTIF(L21:L21:L21:$L$33,L21)=1,F21+G21&gt;0),L21&amp;"-","")</f>
      </c>
    </row>
    <row r="24" spans="3:64" ht="11.25" thickBot="1">
      <c r="C24" s="72">
        <v>22</v>
      </c>
      <c r="D24" s="92" t="str">
        <f>IF(D21="Sieger 11","Sieger 19",IF(E21="Verlierer 14","Sieger 19",IF(D21=E21,"Freilos",IF(E21="Freilos",D21,IF(D21="Freilos",E21,IF(F21&gt;G21,D21,IF(G21&gt;F21,E21,"Sieger 19")))))))</f>
        <v>Sieger 19</v>
      </c>
      <c r="E24" s="93" t="str">
        <f>IF(D22="Sieger 12","Sieger 20",IF(E22="Verlierer 13","Sieger 20",IF(D22=E22,"Freilos",IF(E22="Freilos",D22,IF(D22="Freilos",E22,IF(F22&gt;G22,D22,IF(G22&gt;F22,E22,"Sieger 20")))))))</f>
        <v>Sieger 20</v>
      </c>
      <c r="F24" s="96"/>
      <c r="G24" s="95"/>
      <c r="H24" s="94"/>
      <c r="I24" s="95"/>
      <c r="J24" s="96"/>
      <c r="K24" s="97"/>
      <c r="L24" s="185"/>
      <c r="M24" s="85">
        <f t="shared" si="26"/>
      </c>
      <c r="N24" s="49">
        <f t="shared" si="0"/>
        <v>0</v>
      </c>
      <c r="O24" s="49">
        <f t="shared" si="1"/>
        <v>0</v>
      </c>
      <c r="P24" s="49">
        <f t="shared" si="2"/>
        <v>0</v>
      </c>
      <c r="Q24" s="49">
        <f t="shared" si="3"/>
        <v>0</v>
      </c>
      <c r="R24" s="49">
        <f t="shared" si="4"/>
        <v>0</v>
      </c>
      <c r="S24" s="49">
        <f t="shared" si="5"/>
        <v>0</v>
      </c>
      <c r="T24" s="49">
        <f t="shared" si="27"/>
        <v>0</v>
      </c>
      <c r="U24" s="146">
        <f t="shared" si="28"/>
        <v>0</v>
      </c>
      <c r="X24" s="104">
        <f>IF(Auslosung_Turnierdaten!F13="","",5)</f>
      </c>
      <c r="Y24" s="109">
        <f>IF(SP16!X24="","",Auslosung_Turnierdaten!F13)</f>
      </c>
      <c r="Z24" s="110">
        <f>IF(SP16!X24="","",Auslosung_Turnierdaten!G13)</f>
      </c>
      <c r="AA24" s="110">
        <f>IF(SP16!X24="","",Auslosung_Turnierdaten!H13)</f>
      </c>
      <c r="AB24" s="110">
        <f>IF(SP16!X24="","",Auslosung_Turnierdaten!I13)</f>
      </c>
      <c r="AC24" s="111">
        <f>IF(SP16!X24="","",SP16!X7)</f>
      </c>
      <c r="AD24" s="111">
        <f>IF(SP16!X24="","",SP16!Z7)</f>
      </c>
      <c r="AE24" s="111">
        <f>IF(SP16!X24="","",SP16!AA7)</f>
      </c>
      <c r="AF24" s="111">
        <f>IF(SP16!X24="","",SP16!AC7)</f>
      </c>
      <c r="AG24" s="111">
        <f>IF(SP16!X24="","",IF($AG$19="VSp",SP16!AD7,SP16!AF7))</f>
      </c>
      <c r="AH24" s="112">
        <f>IF(SP16!X24="","",IF($AH$19="Quot",SP16!AE7,SP16!AG7))</f>
      </c>
      <c r="AI24" s="112">
        <f>IF($AI$19="BED",SP16!AH7,"")</f>
      </c>
      <c r="AJ24" s="113">
        <f>IF($AJ$19="HS",SP16!AI7,"")</f>
      </c>
      <c r="AN24" s="134">
        <f t="shared" si="23"/>
        <v>0</v>
      </c>
      <c r="AO24" s="148"/>
      <c r="AP24" s="134">
        <f t="shared" si="24"/>
      </c>
      <c r="AQ24" s="190"/>
      <c r="AR24" s="191"/>
      <c r="AS24" s="192">
        <f t="shared" si="25"/>
      </c>
      <c r="BL24" s="49">
        <f>IF(AND(COUNTIF(L22:L22:L22:$L$33,L22)=1,F22+G22&gt;0),L22&amp;"-","")</f>
      </c>
    </row>
    <row r="25" spans="2:64" ht="11.25" thickBot="1">
      <c r="B25" s="54" t="s">
        <v>50</v>
      </c>
      <c r="C25" s="55">
        <v>23</v>
      </c>
      <c r="D25" s="56" t="str">
        <f>IF(D15="Sieger 1","Sieger 13",IF(E15="Sieger 2","Sieger 13",IF(D15=E15,"Freilos",IF(E15="Freilos",D15,IF(D15="Freilos",E15,IF(F15&gt;G15,D15,IF(G15&gt;F15,E15,"Sieger 13")))))))</f>
        <v>Sieger 13</v>
      </c>
      <c r="E25" s="57" t="str">
        <f>IF(D16="Sieger 3","Sieger 14",IF(E16="Sieger 4","Sieger 14",IF(D16=E16,"Freilos",IF(E16="Freilos",D16,IF(D16="Freilos",E16,IF(F16&gt;G16,D16,IF(G16&gt;F16,E16,"Sieger 14")))))))</f>
        <v>Sieger 14</v>
      </c>
      <c r="F25" s="58"/>
      <c r="G25" s="59"/>
      <c r="H25" s="60"/>
      <c r="I25" s="59"/>
      <c r="J25" s="58"/>
      <c r="K25" s="61"/>
      <c r="L25" s="185"/>
      <c r="M25" s="62"/>
      <c r="N25" s="49">
        <f t="shared" si="0"/>
        <v>0</v>
      </c>
      <c r="O25" s="49">
        <f t="shared" si="1"/>
        <v>0</v>
      </c>
      <c r="P25" s="49">
        <f t="shared" si="2"/>
        <v>0</v>
      </c>
      <c r="Q25" s="49">
        <f t="shared" si="3"/>
        <v>0</v>
      </c>
      <c r="R25" s="49">
        <f t="shared" si="4"/>
        <v>0</v>
      </c>
      <c r="S25" s="49">
        <f t="shared" si="5"/>
        <v>0</v>
      </c>
      <c r="T25" s="49">
        <f>IF(E25="Freilos",6,IF(F25&gt;G25,6,0))</f>
        <v>0</v>
      </c>
      <c r="U25" s="146">
        <f>IF(D25="Freilos",6,IF(G25&gt;F25,6,0))</f>
        <v>0</v>
      </c>
      <c r="X25" s="104">
        <f>IF(Auslosung_Turnierdaten!F14="","",6)</f>
      </c>
      <c r="Y25" s="109">
        <f>IF(SP16!X25="","",Auslosung_Turnierdaten!F14)</f>
      </c>
      <c r="Z25" s="110">
        <f>IF(SP16!X25="","",Auslosung_Turnierdaten!G14)</f>
      </c>
      <c r="AA25" s="110">
        <f>IF(SP16!X25="","",Auslosung_Turnierdaten!H14)</f>
      </c>
      <c r="AB25" s="110">
        <f>IF(SP16!X25="","",Auslosung_Turnierdaten!I14)</f>
      </c>
      <c r="AC25" s="111">
        <f>IF(SP16!X25="","",SP16!X8)</f>
      </c>
      <c r="AD25" s="111">
        <f>IF(SP16!X25="","",SP16!Z8)</f>
      </c>
      <c r="AE25" s="111">
        <f>IF(SP16!X25="","",SP16!AA8)</f>
      </c>
      <c r="AF25" s="111">
        <f>IF(SP16!X25="","",SP16!AC8)</f>
      </c>
      <c r="AG25" s="111">
        <f>IF(SP16!X25="","",IF($AG$19="VSp",SP16!AD8,SP16!AF8))</f>
      </c>
      <c r="AH25" s="112">
        <f>IF(SP16!X25="","",IF($AH$19="Quot",SP16!AE8,SP16!AG8))</f>
      </c>
      <c r="AI25" s="112">
        <f>IF($AI$19="BED",SP16!AH8,"")</f>
      </c>
      <c r="AJ25" s="113">
        <f>IF($AJ$19="HS",SP16!AI8,"")</f>
      </c>
      <c r="AN25" s="134">
        <f t="shared" si="23"/>
        <v>0</v>
      </c>
      <c r="AO25" s="148"/>
      <c r="AP25" s="134">
        <f t="shared" si="24"/>
      </c>
      <c r="AQ25" s="190"/>
      <c r="AR25" s="191"/>
      <c r="AS25" s="192">
        <f t="shared" si="25"/>
      </c>
      <c r="BL25" s="49">
        <f>IF(AND(COUNTIF(L23:L23:L23:$L$33,L23)=1,F23+G23&gt;0),L23&amp;"-","")</f>
      </c>
    </row>
    <row r="26" spans="3:64" ht="11.25" thickBot="1">
      <c r="C26" s="72">
        <v>24</v>
      </c>
      <c r="D26" s="73" t="str">
        <f>IF(D17="Sieger 5","Sieger 15",IF(E17="Sieger 6","Sieger 15",IF(D17=E17,"Freilos",IF(E17="Freilos",D17,IF(D17="Freilos",E17,IF(F17&gt;G17,D17,IF(G17&gt;F17,E17,"Sieger 15")))))))</f>
        <v>Sieger 15</v>
      </c>
      <c r="E26" s="74" t="str">
        <f>IF(D18="Sieger 7","Sieger 16",IF(E18="Sieger 8","Sieger 16",IF(D18=E18,"Freilos",IF(E18="Freilos",D18,IF(D18="Freilos",E18,IF(F18&gt;G18,D18,IF(G18&gt;F18,E18,"Sieger 16")))))))</f>
        <v>Sieger 16</v>
      </c>
      <c r="F26" s="77"/>
      <c r="G26" s="76"/>
      <c r="H26" s="75"/>
      <c r="I26" s="76"/>
      <c r="J26" s="77"/>
      <c r="K26" s="78"/>
      <c r="L26" s="185"/>
      <c r="M26" s="62"/>
      <c r="N26" s="49">
        <f t="shared" si="0"/>
        <v>0</v>
      </c>
      <c r="O26" s="49">
        <f t="shared" si="1"/>
        <v>0</v>
      </c>
      <c r="P26" s="49">
        <f t="shared" si="2"/>
        <v>0</v>
      </c>
      <c r="Q26" s="49">
        <f t="shared" si="3"/>
        <v>0</v>
      </c>
      <c r="R26" s="49">
        <f t="shared" si="4"/>
        <v>0</v>
      </c>
      <c r="S26" s="49">
        <f t="shared" si="5"/>
        <v>0</v>
      </c>
      <c r="T26" s="49">
        <f>IF(E26="Freilos",6,IF(F26&gt;G26,6,0))</f>
        <v>0</v>
      </c>
      <c r="U26" s="146">
        <f>IF(D26="Freilos",6,IF(G26&gt;F26,6,0))</f>
        <v>0</v>
      </c>
      <c r="X26" s="104">
        <f>IF(Auslosung_Turnierdaten!F15="","",7)</f>
      </c>
      <c r="Y26" s="109">
        <f>IF(SP16!X26="","",Auslosung_Turnierdaten!F15)</f>
      </c>
      <c r="Z26" s="110">
        <f>IF(SP16!X26="","",Auslosung_Turnierdaten!G15)</f>
      </c>
      <c r="AA26" s="110">
        <f>IF(SP16!X26="","",Auslosung_Turnierdaten!H15)</f>
      </c>
      <c r="AB26" s="110">
        <f>IF(SP16!X26="","",Auslosung_Turnierdaten!I15)</f>
      </c>
      <c r="AC26" s="111">
        <f>IF(SP16!X26="","",SP16!X9)</f>
      </c>
      <c r="AD26" s="111">
        <f>IF(SP16!X26="","",SP16!Z9)</f>
      </c>
      <c r="AE26" s="111">
        <f>IF(SP16!X26="","",SP16!AA9)</f>
      </c>
      <c r="AF26" s="111">
        <f>IF(SP16!X26="","",SP16!AC9)</f>
      </c>
      <c r="AG26" s="111">
        <f>IF(SP16!X26="","",IF($AG$19="VSp",SP16!AD9,SP16!AF9))</f>
      </c>
      <c r="AH26" s="112">
        <f>IF(SP16!X26="","",IF($AH$19="Quot",SP16!AE9,SP16!AG9))</f>
      </c>
      <c r="AI26" s="112">
        <f>IF($AI$19="BED",SP16!AH9,"")</f>
      </c>
      <c r="AJ26" s="113">
        <f>IF($AJ$19="HS",SP16!AI9,"")</f>
      </c>
      <c r="AN26" s="134">
        <f t="shared" si="23"/>
        <v>0</v>
      </c>
      <c r="AO26" s="148"/>
      <c r="AP26" s="134">
        <f t="shared" si="24"/>
      </c>
      <c r="AQ26" s="190"/>
      <c r="AR26" s="191"/>
      <c r="AS26" s="192">
        <f t="shared" si="25"/>
      </c>
      <c r="BL26" s="49">
        <f>IF(AND(COUNTIF(L24:L24:L24:$L$33,L24)=1,F24+G24&gt;0),L24&amp;"-","")</f>
      </c>
    </row>
    <row r="27" spans="2:64" ht="11.25" thickBot="1">
      <c r="B27" s="51" t="s">
        <v>45</v>
      </c>
      <c r="C27" s="55">
        <v>25</v>
      </c>
      <c r="D27" s="79" t="str">
        <f>IF(D23="Sieger 17","Sieger 21",IF(E23="Sieger 18","Sieger 21",IF(D23=E23,"Freilos",IF(E23="Freilos",D23,IF(D23="Freilos",E23,IF(F23&gt;G23,D23,IF(G23&gt;F23,E23,"Sieger 21")))))))</f>
        <v>Sieger 21</v>
      </c>
      <c r="E27" s="80" t="str">
        <f>IF(D25="Sieger 13","Verlierer 23",IF(E25="Sieger 14","Verlierer 23",IF(D25=E25,"Freilos",IF(E25="Freilos",E25,IF(D25="Freilos",D25,IF(F25&gt;G25,E25,IF(G25&gt;F25,D25,"Verlierer 23")))))))</f>
        <v>Verlierer 23</v>
      </c>
      <c r="F27" s="81"/>
      <c r="G27" s="82"/>
      <c r="H27" s="83"/>
      <c r="I27" s="82"/>
      <c r="J27" s="81"/>
      <c r="K27" s="84"/>
      <c r="L27" s="185"/>
      <c r="M27" s="85">
        <f>IF(F27&gt;G27,E27,IF(F27&lt;G27,D27,""))</f>
      </c>
      <c r="N27" s="49">
        <f t="shared" si="0"/>
        <v>0</v>
      </c>
      <c r="O27" s="49">
        <f t="shared" si="1"/>
        <v>0</v>
      </c>
      <c r="P27" s="49">
        <f t="shared" si="2"/>
        <v>0</v>
      </c>
      <c r="Q27" s="49">
        <f t="shared" si="3"/>
        <v>0</v>
      </c>
      <c r="R27" s="49">
        <f t="shared" si="4"/>
        <v>0</v>
      </c>
      <c r="S27" s="49">
        <f t="shared" si="5"/>
        <v>0</v>
      </c>
      <c r="T27" s="49">
        <f>IF(E27="Freilos",3,IF(F27&gt;G27,3,0))</f>
        <v>0</v>
      </c>
      <c r="U27" s="146">
        <f>IF(D27="Freilos",3,IF(G27&gt;F27,3,0))</f>
        <v>0</v>
      </c>
      <c r="X27" s="104">
        <f>IF(Auslosung_Turnierdaten!F16="","",8)</f>
      </c>
      <c r="Y27" s="109">
        <f>IF(SP16!X27="","",Auslosung_Turnierdaten!F16)</f>
      </c>
      <c r="Z27" s="110">
        <f>IF(SP16!X27="","",Auslosung_Turnierdaten!G16)</f>
      </c>
      <c r="AA27" s="110">
        <f>IF(SP16!X27="","",Auslosung_Turnierdaten!H16)</f>
      </c>
      <c r="AB27" s="110">
        <f>IF(SP16!X27="","",Auslosung_Turnierdaten!I16)</f>
      </c>
      <c r="AC27" s="111">
        <f>IF(SP16!X27="","",SP16!X10)</f>
      </c>
      <c r="AD27" s="111">
        <f>IF(SP16!X27="","",SP16!Z10)</f>
      </c>
      <c r="AE27" s="111">
        <f>IF(SP16!X27="","",SP16!AA10)</f>
      </c>
      <c r="AF27" s="111">
        <f>IF(SP16!X27="","",SP16!AC10)</f>
      </c>
      <c r="AG27" s="111">
        <f>IF(SP16!X27="","",IF($AG$19="VSp",SP16!AD10,SP16!AF10))</f>
      </c>
      <c r="AH27" s="112">
        <f>IF(SP16!X27="","",IF($AH$19="Quot",SP16!AE10,SP16!AG10))</f>
      </c>
      <c r="AI27" s="112">
        <f>IF($AI$19="BED",SP16!AH10,"")</f>
      </c>
      <c r="AJ27" s="113">
        <f>IF($AJ$19="HS",SP16!AI10,"")</f>
      </c>
      <c r="AN27" s="134">
        <f t="shared" si="23"/>
        <v>0</v>
      </c>
      <c r="AO27" s="148"/>
      <c r="AP27" s="134">
        <f t="shared" si="24"/>
      </c>
      <c r="AQ27" s="190"/>
      <c r="AR27" s="191"/>
      <c r="AS27" s="192">
        <f t="shared" si="25"/>
      </c>
      <c r="BL27" s="49">
        <f>IF(AND(COUNTIF(L25:L25:L25:$L$33,L25)=1,F25+G25&gt;0),L25&amp;"-","")</f>
      </c>
    </row>
    <row r="28" spans="3:64" ht="11.25" thickBot="1">
      <c r="C28" s="72">
        <v>26</v>
      </c>
      <c r="D28" s="92" t="str">
        <f>IF(D24="Sieger 19","Sieger 22",IF(E24="Sieger 20","Sieger 22",IF(D24=E24,"Freilos",IF(E24="Freilos",D24,IF(D24="Freilos",E24,IF(F24&gt;G24,D24,IF(G24&gt;F24,E24,"Sieger 22")))))))</f>
        <v>Sieger 22</v>
      </c>
      <c r="E28" s="93" t="str">
        <f>IF(D26="Sieger 15","Verlierer 24",IF(E26="Sieger 16","Verlierer 24",IF(D26=E26,"Freilos",IF(E26="Freilos",E26,IF(D26="Freilos",D26,IF(F26&gt;G26,E26,IF(G26&gt;F26,D26,"Verlierer 24")))))))</f>
        <v>Verlierer 24</v>
      </c>
      <c r="F28" s="96"/>
      <c r="G28" s="95"/>
      <c r="H28" s="94"/>
      <c r="I28" s="95"/>
      <c r="J28" s="96"/>
      <c r="K28" s="97"/>
      <c r="L28" s="185"/>
      <c r="M28" s="85">
        <f>IF(F28&gt;G28,E28,IF(F28&lt;G28,D28,""))</f>
      </c>
      <c r="N28" s="49">
        <f t="shared" si="0"/>
        <v>0</v>
      </c>
      <c r="O28" s="49">
        <f t="shared" si="1"/>
        <v>0</v>
      </c>
      <c r="P28" s="49">
        <f t="shared" si="2"/>
        <v>0</v>
      </c>
      <c r="Q28" s="49">
        <f t="shared" si="3"/>
        <v>0</v>
      </c>
      <c r="R28" s="49">
        <f t="shared" si="4"/>
        <v>0</v>
      </c>
      <c r="S28" s="49">
        <f t="shared" si="5"/>
        <v>0</v>
      </c>
      <c r="T28" s="49">
        <f>IF(E28="Freilos",3,IF(F28&gt;G28,3,0))</f>
        <v>0</v>
      </c>
      <c r="U28" s="146">
        <f>IF(D28="Freilos",3,IF(G28&gt;F28,3,0))</f>
        <v>0</v>
      </c>
      <c r="X28" s="104">
        <f>IF(Auslosung_Turnierdaten!F17="","",9)</f>
      </c>
      <c r="Y28" s="109">
        <f>IF(SP16!X28="","",Auslosung_Turnierdaten!F17)</f>
      </c>
      <c r="Z28" s="110">
        <f>IF(SP16!X28="","",Auslosung_Turnierdaten!G17)</f>
      </c>
      <c r="AA28" s="110">
        <f>IF(SP16!X28="","",Auslosung_Turnierdaten!H17)</f>
      </c>
      <c r="AB28" s="110">
        <f>IF(SP16!X28="","",Auslosung_Turnierdaten!I17)</f>
      </c>
      <c r="AC28" s="111">
        <f>IF(SP16!X28="","",SP16!X11)</f>
      </c>
      <c r="AD28" s="111">
        <f>IF(SP16!X28="","",SP16!Z11)</f>
      </c>
      <c r="AE28" s="111">
        <f>IF(SP16!X28="","",SP16!AA11)</f>
      </c>
      <c r="AF28" s="111">
        <f>IF(SP16!X28="","",SP16!AC11)</f>
      </c>
      <c r="AG28" s="111">
        <f>IF(SP16!X28="","",IF($AG$19="VSp",SP16!AD11,SP16!AF11))</f>
      </c>
      <c r="AH28" s="112">
        <f>IF(SP16!X28="","",IF($AH$19="Quot",SP16!AE11,SP16!AG11))</f>
      </c>
      <c r="AI28" s="112">
        <f>IF($AI$19="BED",SP16!AH11,"")</f>
      </c>
      <c r="AJ28" s="113">
        <f>IF($AJ$19="HS",SP16!AI11,"")</f>
      </c>
      <c r="AN28" s="134">
        <f t="shared" si="23"/>
        <v>0</v>
      </c>
      <c r="AO28" s="148"/>
      <c r="AP28" s="134">
        <f t="shared" si="24"/>
      </c>
      <c r="AQ28" s="190"/>
      <c r="AR28" s="191"/>
      <c r="AS28" s="192">
        <f t="shared" si="25"/>
      </c>
      <c r="BL28" s="49">
        <f>IF(AND(COUNTIF(L26:L26:L26:$L$33,L26)=1,F26+G26&gt;0),L26&amp;"-","")</f>
      </c>
    </row>
    <row r="29" spans="2:64" ht="11.25" thickBot="1">
      <c r="B29" s="51" t="s">
        <v>46</v>
      </c>
      <c r="C29" s="51">
        <v>27</v>
      </c>
      <c r="D29" s="114" t="str">
        <f>IF(D27="Sieger 21","Sieger 25",IF(E27="Verlierer 23","Sieger 25",IF(D27=E27,"Freilos",IF(E27="Freilos",D27,IF(D27="Freilos",E27,IF(F27&gt;G27,D27,IF(G27&gt;F27,E27,"Sieger 25")))))))</f>
        <v>Sieger 25</v>
      </c>
      <c r="E29" s="115" t="str">
        <f>IF(D28="Sieger 22","Sieger 26",IF(E28="Verlierer 24","Sieger 26",IF(D28=E28,"Freilos",IF(E28="Freilos",D28,IF(D28="Freilos",E28,IF(F28&gt;G28,D28,IF(G28&gt;F28,E28,"Sieger 26")))))))</f>
        <v>Sieger 26</v>
      </c>
      <c r="F29" s="118"/>
      <c r="G29" s="117"/>
      <c r="H29" s="116"/>
      <c r="I29" s="117"/>
      <c r="J29" s="118"/>
      <c r="K29" s="119"/>
      <c r="L29" s="185"/>
      <c r="M29" s="85">
        <f>IF(F29&gt;G29,E29,IF(F29&lt;G29,D29,""))</f>
      </c>
      <c r="N29" s="49">
        <f t="shared" si="0"/>
        <v>0</v>
      </c>
      <c r="O29" s="49">
        <f t="shared" si="1"/>
        <v>0</v>
      </c>
      <c r="P29" s="49">
        <f t="shared" si="2"/>
        <v>0</v>
      </c>
      <c r="Q29" s="49">
        <f t="shared" si="3"/>
        <v>0</v>
      </c>
      <c r="R29" s="49">
        <f t="shared" si="4"/>
        <v>0</v>
      </c>
      <c r="S29" s="49">
        <f t="shared" si="5"/>
        <v>0</v>
      </c>
      <c r="T29" s="49">
        <f>IF(E29="Freilos",3,IF(F29&gt;G29,3,0))</f>
        <v>0</v>
      </c>
      <c r="U29" s="146">
        <f>IF(D29="Freilos",3,IF(G29&gt;F29,3,0))</f>
        <v>0</v>
      </c>
      <c r="X29" s="104">
        <f>IF(Auslosung_Turnierdaten!F18="","",10)</f>
      </c>
      <c r="Y29" s="109">
        <f>IF(SP16!X29="","",Auslosung_Turnierdaten!F18)</f>
      </c>
      <c r="Z29" s="110">
        <f>IF(SP16!X29="","",Auslosung_Turnierdaten!G18)</f>
      </c>
      <c r="AA29" s="110">
        <f>IF(SP16!X29="","",Auslosung_Turnierdaten!H18)</f>
      </c>
      <c r="AB29" s="110">
        <f>IF(SP16!X29="","",Auslosung_Turnierdaten!I18)</f>
      </c>
      <c r="AC29" s="111">
        <f>IF(SP16!X29="","",SP16!X12)</f>
      </c>
      <c r="AD29" s="111">
        <f>IF(SP16!X29="","",SP16!Z12)</f>
      </c>
      <c r="AE29" s="111">
        <f>IF(SP16!X29="","",SP16!AA12)</f>
      </c>
      <c r="AF29" s="111">
        <f>IF(SP16!X29="","",SP16!AC12)</f>
      </c>
      <c r="AG29" s="111">
        <f>IF(SP16!X29="","",IF($AG$19="VSp",SP16!AD12,SP16!AF12))</f>
      </c>
      <c r="AH29" s="112">
        <f>IF(SP16!X29="","",IF($AH$19="Quot",SP16!AE12,SP16!AG12))</f>
      </c>
      <c r="AI29" s="112">
        <f>IF($AI$19="BED",SP16!AH12,"")</f>
      </c>
      <c r="AJ29" s="113">
        <f>IF($AJ$19="HS",SP16!AI12,"")</f>
      </c>
      <c r="AN29" s="134">
        <f t="shared" si="23"/>
        <v>0</v>
      </c>
      <c r="AO29" s="148"/>
      <c r="AP29" s="134">
        <f t="shared" si="24"/>
      </c>
      <c r="AQ29" s="190"/>
      <c r="AR29" s="191"/>
      <c r="AS29" s="192">
        <f t="shared" si="25"/>
      </c>
      <c r="BL29" s="49">
        <f>IF(AND(COUNTIF(L27:L27:L27:$L$33,L27)=1,F27+G27&gt;0),L27&amp;"-","")</f>
      </c>
    </row>
    <row r="30" spans="2:64" ht="11.25" thickBot="1">
      <c r="B30" s="54" t="s">
        <v>51</v>
      </c>
      <c r="C30" s="51">
        <v>28</v>
      </c>
      <c r="D30" s="120" t="str">
        <f>IF(D25="Sieger 13","Sieger 23",IF(E25="Sieger 14","Sieger 23",IF(D25=E25,"Freilos",IF(E25="Freilos",D25,IF(D25="Freilos",E25,IF(F25&gt;G25,D25,IF(G25&gt;F25,E25,"Sieger 23")))))))</f>
        <v>Sieger 23</v>
      </c>
      <c r="E30" s="121" t="str">
        <f>IF(D26="Sieger 15","Sieger 24",IF(E26="Sieger 16","Sieger 24",IF(D26=E26,"Freilos",IF(E26="Freilos",D26,IF(D26="Freilos",E26,IF(F26&gt;G26,D26,IF(G26&gt;F26,E26,"Sieger 24")))))))</f>
        <v>Sieger 24</v>
      </c>
      <c r="F30" s="124"/>
      <c r="G30" s="123"/>
      <c r="H30" s="122"/>
      <c r="I30" s="123"/>
      <c r="J30" s="124"/>
      <c r="K30" s="125"/>
      <c r="L30" s="185"/>
      <c r="M30" s="62"/>
      <c r="N30" s="49">
        <f t="shared" si="0"/>
        <v>0</v>
      </c>
      <c r="O30" s="49">
        <f t="shared" si="1"/>
        <v>0</v>
      </c>
      <c r="P30" s="49">
        <f t="shared" si="2"/>
        <v>0</v>
      </c>
      <c r="Q30" s="49">
        <f t="shared" si="3"/>
        <v>0</v>
      </c>
      <c r="R30" s="49">
        <f t="shared" si="4"/>
        <v>0</v>
      </c>
      <c r="S30" s="49">
        <f t="shared" si="5"/>
        <v>0</v>
      </c>
      <c r="T30" s="49">
        <f>IF(E30="Freilos",6,IF(F30&gt;G30,6,0))</f>
        <v>0</v>
      </c>
      <c r="U30" s="146">
        <f>IF(D30="Freilos",6,IF(G30&gt;F30,6,0))</f>
        <v>0</v>
      </c>
      <c r="X30" s="104">
        <f>IF(Auslosung_Turnierdaten!F19="","",11)</f>
      </c>
      <c r="Y30" s="109">
        <f>IF(SP16!X30="","",Auslosung_Turnierdaten!F19)</f>
      </c>
      <c r="Z30" s="110">
        <f>IF(SP16!X30="","",Auslosung_Turnierdaten!G19)</f>
      </c>
      <c r="AA30" s="110">
        <f>IF(SP16!X30="","",Auslosung_Turnierdaten!H19)</f>
      </c>
      <c r="AB30" s="110">
        <f>IF(SP16!X30="","",Auslosung_Turnierdaten!I19)</f>
      </c>
      <c r="AC30" s="111">
        <f>IF(SP16!X30="","",SP16!X13)</f>
      </c>
      <c r="AD30" s="111">
        <f>IF(SP16!X30="","",SP16!Z13)</f>
      </c>
      <c r="AE30" s="111">
        <f>IF(SP16!X30="","",SP16!AA13)</f>
      </c>
      <c r="AF30" s="111">
        <f>IF(SP16!X30="","",SP16!AC13)</f>
      </c>
      <c r="AG30" s="111">
        <f>IF(SP16!X30="","",IF($AG$19="VSp",SP16!AD13,SP16!AF13))</f>
      </c>
      <c r="AH30" s="112">
        <f>IF(SP16!X30="","",IF($AH$19="Quot",SP16!AE13,SP16!AG13))</f>
      </c>
      <c r="AI30" s="112">
        <f>IF($AI$19="BED",SP16!AH13,"")</f>
      </c>
      <c r="AJ30" s="113">
        <f>IF($AJ$19="HS",SP16!AI13,"")</f>
      </c>
      <c r="AN30" s="134">
        <f t="shared" si="23"/>
        <v>0</v>
      </c>
      <c r="AO30" s="148"/>
      <c r="AP30" s="134">
        <f t="shared" si="24"/>
      </c>
      <c r="AQ30" s="190"/>
      <c r="AR30" s="191"/>
      <c r="AS30" s="192">
        <f t="shared" si="25"/>
      </c>
      <c r="BL30" s="49">
        <f>IF(AND(COUNTIF(L28:L28:L28:$L$33,L28)=1,F28+G28&gt;0),L28&amp;"-","")</f>
      </c>
    </row>
    <row r="31" spans="2:64" ht="11.25" thickBot="1">
      <c r="B31" s="51" t="s">
        <v>47</v>
      </c>
      <c r="C31" s="51">
        <v>29</v>
      </c>
      <c r="D31" s="114" t="str">
        <f>IF(D29="Sieger 25","Sieger 27",IF(E29="Sieger 26","Sieger 27",IF(D29=E29,"Freilos",IF(E29="Freilos",D29,IF(D29="Freilos",E29,IF(F29&gt;G29,D29,IF(G29&gt;F29,E29,"Sieger 27")))))))</f>
        <v>Sieger 27</v>
      </c>
      <c r="E31" s="115" t="str">
        <f>IF(D30="Sieger 23","Verlierer 28",IF(E30="Sieger 24","Verlierer 28",IF(D30=E30,"Freilos",IF(E30="Freilos",E30,IF(D30="Freilos",D30,IF(F30&gt;G30,E30,IF(G30&gt;F30,D30,"Verlierer 28")))))))</f>
        <v>Verlierer 28</v>
      </c>
      <c r="F31" s="118"/>
      <c r="G31" s="117"/>
      <c r="H31" s="116"/>
      <c r="I31" s="117"/>
      <c r="J31" s="118"/>
      <c r="K31" s="119"/>
      <c r="L31" s="185"/>
      <c r="M31" s="85">
        <f>IF(F31&gt;G31,E31,IF(F31&lt;G31,D31,""))</f>
      </c>
      <c r="N31" s="49">
        <f t="shared" si="0"/>
        <v>0</v>
      </c>
      <c r="O31" s="49">
        <f t="shared" si="1"/>
        <v>0</v>
      </c>
      <c r="P31" s="49">
        <f t="shared" si="2"/>
        <v>0</v>
      </c>
      <c r="Q31" s="49">
        <f t="shared" si="3"/>
        <v>0</v>
      </c>
      <c r="R31" s="49">
        <f t="shared" si="4"/>
        <v>0</v>
      </c>
      <c r="S31" s="49">
        <f t="shared" si="5"/>
        <v>0</v>
      </c>
      <c r="T31" s="49">
        <f>IF(E31="Freilos",3,IF(F31&gt;G31,3,0))</f>
        <v>0</v>
      </c>
      <c r="U31" s="146">
        <f>IF(D31="Freilos",3,IF(G31&gt;F31,3,0))</f>
        <v>0</v>
      </c>
      <c r="X31" s="104">
        <f>IF(Auslosung_Turnierdaten!F20="","",12)</f>
      </c>
      <c r="Y31" s="109">
        <f>IF(SP16!X31="","",Auslosung_Turnierdaten!F20)</f>
      </c>
      <c r="Z31" s="110">
        <f>IF(SP16!X31="","",Auslosung_Turnierdaten!G20)</f>
      </c>
      <c r="AA31" s="110">
        <f>IF(SP16!X31="","",Auslosung_Turnierdaten!H20)</f>
      </c>
      <c r="AB31" s="110">
        <f>IF(SP16!X31="","",Auslosung_Turnierdaten!I20)</f>
      </c>
      <c r="AC31" s="111">
        <f>IF(SP16!X31="","",SP16!X14)</f>
      </c>
      <c r="AD31" s="111">
        <f>IF(SP16!X31="","",SP16!Z14)</f>
      </c>
      <c r="AE31" s="111">
        <f>IF(SP16!X31="","",SP16!AA14)</f>
      </c>
      <c r="AF31" s="111">
        <f>IF(SP16!X31="","",SP16!AC14)</f>
      </c>
      <c r="AG31" s="111">
        <f>IF(SP16!X31="","",IF($AG$19="VSp",SP16!AD14,SP16!AF14))</f>
      </c>
      <c r="AH31" s="112">
        <f>IF(SP16!X31="","",IF($AH$19="Quot",SP16!AE14,SP16!AG14))</f>
      </c>
      <c r="AI31" s="112">
        <f>IF($AI$19="BED",SP16!AH14,"")</f>
      </c>
      <c r="AJ31" s="113">
        <f>IF($AJ$19="HS",SP16!AI14,"")</f>
      </c>
      <c r="AN31" s="134">
        <f t="shared" si="23"/>
        <v>0</v>
      </c>
      <c r="AO31" s="148"/>
      <c r="AP31" s="134">
        <f t="shared" si="24"/>
      </c>
      <c r="AQ31" s="190"/>
      <c r="AR31" s="191"/>
      <c r="AS31" s="192">
        <f t="shared" si="25"/>
      </c>
      <c r="BL31" s="49">
        <f>IF(AND(COUNTIF(L29:L29:L29:$L$33,L29)=1,F29+G29&gt;0),L29&amp;"-","")</f>
      </c>
    </row>
    <row r="32" spans="2:64" ht="11.25" thickBot="1">
      <c r="B32" s="54" t="s">
        <v>48</v>
      </c>
      <c r="C32" s="51">
        <v>30</v>
      </c>
      <c r="D32" s="120" t="str">
        <f>IF(D30="Sieger 23","Sieger 28",IF(E30="Sieger 24","Sieger 28",IF(D30=E30,"Freilos",IF(E30="Freilos",D30,IF(D30="Freilos",E30,IF(F30&gt;G30,D30,IF(G30&gt;F30,E30,"Sieger 28")))))))</f>
        <v>Sieger 28</v>
      </c>
      <c r="E32" s="121" t="str">
        <f>IF(D31="Sieger 27","Sieger 29",IF(E31="Verlierer 28","Sieger 29",IF(D31=E31,"Freilos",IF(E31="Freilos",D31,IF(D31="Freilos",E31,IF(F31&gt;G31,D31,IF(G31&gt;F31,E31,"Sieger 29")))))))</f>
        <v>Sieger 29</v>
      </c>
      <c r="F32" s="124"/>
      <c r="G32" s="123"/>
      <c r="H32" s="122"/>
      <c r="I32" s="123"/>
      <c r="J32" s="124"/>
      <c r="K32" s="125"/>
      <c r="L32" s="185"/>
      <c r="M32" s="62" t="s">
        <v>54</v>
      </c>
      <c r="N32" s="49">
        <f t="shared" si="0"/>
        <v>0</v>
      </c>
      <c r="O32" s="49">
        <f t="shared" si="1"/>
        <v>0</v>
      </c>
      <c r="P32" s="49">
        <f t="shared" si="2"/>
        <v>0</v>
      </c>
      <c r="Q32" s="49">
        <f t="shared" si="3"/>
        <v>0</v>
      </c>
      <c r="R32" s="49">
        <f t="shared" si="4"/>
        <v>0</v>
      </c>
      <c r="S32" s="49">
        <f t="shared" si="5"/>
        <v>0</v>
      </c>
      <c r="T32" s="49">
        <f>IF(E32="Freilos",3,IF(F32&gt;G32,3,0))</f>
        <v>0</v>
      </c>
      <c r="U32" s="146">
        <f>IF(D32="Freilos",3,IF(G32&gt;F32,3,0))</f>
        <v>0</v>
      </c>
      <c r="X32" s="104">
        <f>IF(Auslosung_Turnierdaten!F21="","",13)</f>
      </c>
      <c r="Y32" s="109">
        <f>IF(SP16!X32="","",Auslosung_Turnierdaten!F21)</f>
      </c>
      <c r="Z32" s="110">
        <f>IF(SP16!X32="","",Auslosung_Turnierdaten!G21)</f>
      </c>
      <c r="AA32" s="110">
        <f>IF(SP16!X32="","",Auslosung_Turnierdaten!H21)</f>
      </c>
      <c r="AB32" s="110">
        <f>IF(SP16!X32="","",Auslosung_Turnierdaten!I21)</f>
      </c>
      <c r="AC32" s="111">
        <f>IF(SP16!X32="","",SP16!X15)</f>
      </c>
      <c r="AD32" s="111">
        <f>IF(SP16!X32="","",SP16!Z15)</f>
      </c>
      <c r="AE32" s="111">
        <f>IF(SP16!X32="","",SP16!AA15)</f>
      </c>
      <c r="AF32" s="111">
        <f>IF(SP16!X32="","",SP16!AC15)</f>
      </c>
      <c r="AG32" s="111">
        <f>IF(SP16!X32="","",IF($AG$19="VSp",SP16!AD15,SP16!AF15))</f>
      </c>
      <c r="AH32" s="112">
        <f>IF(SP16!X32="","",IF($AH$19="Quot",SP16!AE15,SP16!AG15))</f>
      </c>
      <c r="AI32" s="112">
        <f>IF($AI$19="BED",SP16!AH15,"")</f>
      </c>
      <c r="AJ32" s="113">
        <f>IF($AJ$19="HS",SP16!AI15,"")</f>
      </c>
      <c r="AN32" s="134">
        <f t="shared" si="23"/>
        <v>0</v>
      </c>
      <c r="AO32" s="148"/>
      <c r="AP32" s="134">
        <f t="shared" si="24"/>
      </c>
      <c r="AQ32" s="190"/>
      <c r="AR32" s="191"/>
      <c r="AS32" s="192">
        <f t="shared" si="25"/>
      </c>
      <c r="BL32" s="49">
        <f>IF(AND(COUNTIF(L30:L30:L30:$L$33,L30)=1,F30+G30&gt;0),L30&amp;"-","")</f>
      </c>
    </row>
    <row r="33" spans="2:64" ht="11.25" thickBot="1">
      <c r="B33" s="126" t="s">
        <v>49</v>
      </c>
      <c r="C33" s="127">
        <v>31</v>
      </c>
      <c r="D33" s="128" t="str">
        <f>IF(D32="Sieger 28","Sieger 30",IF(E32="Sieger 29","Sieger 30",IF(D32=E32,"Freilos",IF(E32="Freilos",D32,IF(D32="Freilos",E32,IF(F32&gt;G32,D32,IF(G32&gt;F32,E32,"Sieger 30")))))))</f>
        <v>Sieger 30</v>
      </c>
      <c r="E33" s="129" t="str">
        <f>IF(D32="Sieger 28","Verlierer 30",IF(E32="Sieger 29","Verlierer 30",IF(D32=E32,"Freilos",IF(E32="Freilos",D32,IF(D32="Freilos",E32,IF(F32&gt;G32,E32,IF(G32&gt;F32,D32,"Verlierer 30")))))))</f>
        <v>Verlierer 30</v>
      </c>
      <c r="F33" s="124"/>
      <c r="G33" s="123"/>
      <c r="H33" s="130"/>
      <c r="I33" s="131"/>
      <c r="J33" s="132"/>
      <c r="K33" s="133"/>
      <c r="L33" s="186"/>
      <c r="M33" s="62" t="s">
        <v>55</v>
      </c>
      <c r="N33" s="49">
        <f t="shared" si="0"/>
        <v>0</v>
      </c>
      <c r="O33" s="49">
        <f t="shared" si="1"/>
        <v>0</v>
      </c>
      <c r="P33" s="49">
        <f t="shared" si="2"/>
        <v>0</v>
      </c>
      <c r="Q33" s="49">
        <f t="shared" si="3"/>
        <v>0</v>
      </c>
      <c r="R33" s="49">
        <f t="shared" si="4"/>
        <v>0</v>
      </c>
      <c r="S33" s="49">
        <f t="shared" si="5"/>
        <v>0</v>
      </c>
      <c r="T33" s="49">
        <f>IF(E33="Freilos",3,IF(F33&gt;G33,3,0))</f>
        <v>0</v>
      </c>
      <c r="U33" s="146">
        <f>IF(D33="Freilos",3,IF(G33&gt;F33,3,0))</f>
        <v>0</v>
      </c>
      <c r="X33" s="104">
        <f>IF(Auslosung_Turnierdaten!F22="","",14)</f>
      </c>
      <c r="Y33" s="109">
        <f>IF(SP16!X33="","",Auslosung_Turnierdaten!F22)</f>
      </c>
      <c r="Z33" s="110">
        <f>IF(SP16!X33="","",Auslosung_Turnierdaten!G22)</f>
      </c>
      <c r="AA33" s="110">
        <f>IF(SP16!X33="","",Auslosung_Turnierdaten!H22)</f>
      </c>
      <c r="AB33" s="110">
        <f>IF(SP16!X33="","",Auslosung_Turnierdaten!I22)</f>
      </c>
      <c r="AC33" s="111">
        <f>IF(SP16!X33="","",SP16!X16)</f>
      </c>
      <c r="AD33" s="111">
        <f>IF(SP16!X33="","",SP16!Z16)</f>
      </c>
      <c r="AE33" s="111">
        <f>IF(SP16!X33="","",SP16!AA16)</f>
      </c>
      <c r="AF33" s="111">
        <f>IF(SP16!X33="","",SP16!AC16)</f>
      </c>
      <c r="AG33" s="111">
        <f>IF(SP16!X33="","",IF($AG$19="VSp",SP16!AD16,SP16!AF16))</f>
      </c>
      <c r="AH33" s="112">
        <f>IF(SP16!X33="","",IF($AH$19="Quot",SP16!AE16,SP16!AG16))</f>
      </c>
      <c r="AI33" s="112">
        <f>IF($AI$19="BED",SP16!AH16,"")</f>
      </c>
      <c r="AJ33" s="113">
        <f>IF($AJ$19="HS",SP16!AI16,"")</f>
      </c>
      <c r="AN33" s="134">
        <f t="shared" si="23"/>
        <v>0</v>
      </c>
      <c r="AO33" s="148"/>
      <c r="AP33" s="134">
        <f t="shared" si="24"/>
      </c>
      <c r="AQ33" s="190"/>
      <c r="AR33" s="191"/>
      <c r="AS33" s="192">
        <f t="shared" si="25"/>
      </c>
      <c r="BL33" s="49">
        <f>IF(AND(COUNTIF(L31:L31:L31:$L$33,L31)=1,F31+G31&gt;0),L31&amp;"-","")</f>
      </c>
    </row>
    <row r="34" spans="4:41" ht="10.5">
      <c r="D34" s="134"/>
      <c r="E34" s="134"/>
      <c r="X34" s="104">
        <f>IF(Auslosung_Turnierdaten!F23="","",15)</f>
      </c>
      <c r="Y34" s="109">
        <f>IF(SP16!X34="","",Auslosung_Turnierdaten!F23)</f>
      </c>
      <c r="Z34" s="110">
        <f>IF(SP16!X34="","",Auslosung_Turnierdaten!G23)</f>
      </c>
      <c r="AA34" s="110">
        <f>IF(SP16!X34="","",Auslosung_Turnierdaten!H23)</f>
      </c>
      <c r="AB34" s="110">
        <f>IF(SP16!X34="","",Auslosung_Turnierdaten!I23)</f>
      </c>
      <c r="AC34" s="111">
        <f>IF(SP16!X34="","",SP16!X17)</f>
      </c>
      <c r="AD34" s="111">
        <f>IF(SP16!X34="","",SP16!Z17)</f>
      </c>
      <c r="AE34" s="111">
        <f>IF(SP16!X34="","",SP16!AA17)</f>
      </c>
      <c r="AF34" s="111">
        <f>IF(SP16!X34="","",SP16!AC17)</f>
      </c>
      <c r="AG34" s="111">
        <f>IF(SP16!X34="","",IF($AG$19="VSp",SP16!AD17,SP16!AF17))</f>
      </c>
      <c r="AH34" s="112">
        <f>IF(SP16!X34="","",IF($AH$19="Quot",SP16!AE17,SP16!AG17))</f>
      </c>
      <c r="AI34" s="112">
        <f>IF($AI$19="BED",SP16!AH17,"")</f>
      </c>
      <c r="AJ34" s="113">
        <f>IF($AJ$19="HS",SP16!AI17,"")</f>
      </c>
      <c r="AN34" s="134">
        <f t="shared" si="23"/>
        <v>0</v>
      </c>
      <c r="AO34" s="148"/>
    </row>
    <row r="35" spans="24:41" ht="11.25" thickBot="1">
      <c r="X35" s="104">
        <f>IF(Auslosung_Turnierdaten!F24="","",16)</f>
      </c>
      <c r="Y35" s="135">
        <f>IF(SP16!X35="","",Auslosung_Turnierdaten!F24)</f>
      </c>
      <c r="Z35" s="136">
        <f>IF(SP16!X35="","",Auslosung_Turnierdaten!G24)</f>
      </c>
      <c r="AA35" s="136">
        <f>IF(SP16!X35="","",Auslosung_Turnierdaten!H24)</f>
      </c>
      <c r="AB35" s="136">
        <f>IF(SP16!X35="","",Auslosung_Turnierdaten!I24)</f>
      </c>
      <c r="AC35" s="137">
        <f>IF(SP16!X35="","",SP16!X18)</f>
      </c>
      <c r="AD35" s="137">
        <f>IF(SP16!X35="","",SP16!Z18)</f>
      </c>
      <c r="AE35" s="137">
        <f>IF(SP16!X35="","",SP16!AA18)</f>
      </c>
      <c r="AF35" s="137">
        <f>IF(SP16!X35="","",SP16!AC18)</f>
      </c>
      <c r="AG35" s="137">
        <f>IF(SP16!X35="","",IF($AG$19="VSp",SP16!AD18,SP16!AF18))</f>
      </c>
      <c r="AH35" s="138">
        <f>IF(SP16!X35="","",IF($AH$19="Quot",SP16!AE18,SP16!AG18))</f>
      </c>
      <c r="AI35" s="138">
        <f>IF($AI$19="BED",SP16!AH18,"")</f>
      </c>
      <c r="AJ35" s="139">
        <f>IF($AJ$19="HS",SP16!AI18,"")</f>
      </c>
      <c r="AO35" s="151"/>
    </row>
    <row r="36" ht="10.5"/>
    <row r="37" ht="10.5"/>
    <row r="38" spans="6:8" ht="9">
      <c r="F38" s="201"/>
      <c r="G38" s="201"/>
      <c r="H38" s="202">
        <f>MAX(H39:H46)</f>
        <v>0</v>
      </c>
    </row>
    <row r="39" spans="6:8" ht="9">
      <c r="F39" s="201">
        <v>1</v>
      </c>
      <c r="G39" s="201" t="str">
        <f>IF(Auslosung_Turnierdaten!M9="","öüä",Auslosung_Turnierdaten!M9)</f>
        <v>öüä</v>
      </c>
      <c r="H39" s="203">
        <f>COUNTIF(L$3:L$33,G39)-SUMIF(L$3:L$33,G39,P$3:P$33)</f>
        <v>0</v>
      </c>
    </row>
    <row r="40" spans="6:8" ht="9">
      <c r="F40" s="201">
        <v>2</v>
      </c>
      <c r="G40" s="201" t="str">
        <f>IF(Auslosung_Turnierdaten!M10="","öüä",Auslosung_Turnierdaten!M10)</f>
        <v>öüä</v>
      </c>
      <c r="H40" s="203">
        <f aca="true" t="shared" si="29" ref="H40:H46">COUNTIF(L$3:L$33,G40)-SUMIF(L$3:L$33,G40,P$3:P$33)</f>
        <v>0</v>
      </c>
    </row>
    <row r="41" spans="6:8" ht="9">
      <c r="F41" s="201">
        <v>3</v>
      </c>
      <c r="G41" s="201" t="str">
        <f>IF(Auslosung_Turnierdaten!M11="","öüä",Auslosung_Turnierdaten!M11)</f>
        <v>öüä</v>
      </c>
      <c r="H41" s="203">
        <f t="shared" si="29"/>
        <v>0</v>
      </c>
    </row>
    <row r="42" spans="6:8" ht="9">
      <c r="F42" s="201">
        <v>4</v>
      </c>
      <c r="G42" s="201" t="str">
        <f>IF(Auslosung_Turnierdaten!M12="","öüä",Auslosung_Turnierdaten!M12)</f>
        <v>öüä</v>
      </c>
      <c r="H42" s="203">
        <f t="shared" si="29"/>
        <v>0</v>
      </c>
    </row>
    <row r="43" spans="6:8" ht="9">
      <c r="F43" s="201">
        <v>5</v>
      </c>
      <c r="G43" s="201" t="str">
        <f>IF(Auslosung_Turnierdaten!M13="","öüä",Auslosung_Turnierdaten!M13)</f>
        <v>öüä</v>
      </c>
      <c r="H43" s="203">
        <f t="shared" si="29"/>
        <v>0</v>
      </c>
    </row>
    <row r="44" spans="6:8" ht="9">
      <c r="F44" s="201">
        <v>6</v>
      </c>
      <c r="G44" s="201" t="str">
        <f>IF(Auslosung_Turnierdaten!M14="","öüä",Auslosung_Turnierdaten!M14)</f>
        <v>öüä</v>
      </c>
      <c r="H44" s="203">
        <f t="shared" si="29"/>
        <v>0</v>
      </c>
    </row>
    <row r="45" spans="6:8" ht="9">
      <c r="F45" s="201">
        <v>7</v>
      </c>
      <c r="G45" s="201" t="str">
        <f>IF(Auslosung_Turnierdaten!M15="","öüä",Auslosung_Turnierdaten!M15)</f>
        <v>öüä</v>
      </c>
      <c r="H45" s="203">
        <f t="shared" si="29"/>
        <v>0</v>
      </c>
    </row>
    <row r="46" spans="6:8" ht="9">
      <c r="F46" s="201">
        <v>8</v>
      </c>
      <c r="G46" s="201" t="str">
        <f>IF(Auslosung_Turnierdaten!M16="","öüä",Auslosung_Turnierdaten!M16)</f>
        <v>öüä</v>
      </c>
      <c r="H46" s="203">
        <f t="shared" si="29"/>
        <v>0</v>
      </c>
    </row>
  </sheetData>
  <sheetProtection sheet="1" objects="1" scenarios="1"/>
  <conditionalFormatting sqref="AQ3:AQ33">
    <cfRule type="expression" priority="1" dxfId="93" stopIfTrue="1">
      <formula>L3=""</formula>
    </cfRule>
    <cfRule type="expression" priority="2" dxfId="2" stopIfTrue="1">
      <formula>F3+G3&gt;0</formula>
    </cfRule>
    <cfRule type="expression" priority="3" dxfId="99" stopIfTrue="1">
      <formula>AQ3=""</formula>
    </cfRule>
  </conditionalFormatting>
  <conditionalFormatting sqref="AR3:AR33">
    <cfRule type="expression" priority="4" dxfId="93" stopIfTrue="1">
      <formula>L3=""</formula>
    </cfRule>
    <cfRule type="expression" priority="5" dxfId="2" stopIfTrue="1">
      <formula>AR3&gt;0</formula>
    </cfRule>
    <cfRule type="expression" priority="6" dxfId="93" stopIfTrue="1">
      <formula>F3+G3=0</formula>
    </cfRule>
  </conditionalFormatting>
  <conditionalFormatting sqref="AS3:AS33">
    <cfRule type="expression" priority="7" dxfId="93" stopIfTrue="1">
      <formula>L3=""</formula>
    </cfRule>
    <cfRule type="expression" priority="8" dxfId="94" stopIfTrue="1">
      <formula>AR3-AQ3&gt;0</formula>
    </cfRule>
    <cfRule type="expression" priority="9" dxfId="93" stopIfTrue="1">
      <formula>AS3=""</formula>
    </cfRule>
  </conditionalFormatting>
  <conditionalFormatting sqref="L3">
    <cfRule type="expression" priority="10" dxfId="2" stopIfTrue="1">
      <formula>T3+U3&gt;0</formula>
    </cfRule>
    <cfRule type="expression" priority="11" dxfId="0" stopIfTrue="1">
      <formula>D3="Spieler 1"</formula>
    </cfRule>
    <cfRule type="expression" priority="12" dxfId="0" stopIfTrue="1">
      <formula>E3="Spieler 9"</formula>
    </cfRule>
  </conditionalFormatting>
  <conditionalFormatting sqref="L4">
    <cfRule type="expression" priority="13" dxfId="2" stopIfTrue="1">
      <formula>T4+U4&gt;0</formula>
    </cfRule>
    <cfRule type="expression" priority="14" dxfId="0" stopIfTrue="1">
      <formula>D4="Spieler 5"</formula>
    </cfRule>
    <cfRule type="expression" priority="15" dxfId="0" stopIfTrue="1">
      <formula>E4="Spieler 13"</formula>
    </cfRule>
  </conditionalFormatting>
  <conditionalFormatting sqref="L5">
    <cfRule type="expression" priority="16" dxfId="2" stopIfTrue="1">
      <formula>T5+U5&gt;0</formula>
    </cfRule>
    <cfRule type="expression" priority="17" dxfId="0" stopIfTrue="1">
      <formula>D5="Spieler 3"</formula>
    </cfRule>
    <cfRule type="expression" priority="18" dxfId="0" stopIfTrue="1">
      <formula>E5="Spieler 11"</formula>
    </cfRule>
  </conditionalFormatting>
  <conditionalFormatting sqref="L6">
    <cfRule type="expression" priority="19" dxfId="2" stopIfTrue="1">
      <formula>T6+U6&gt;0</formula>
    </cfRule>
    <cfRule type="expression" priority="20" dxfId="0" stopIfTrue="1">
      <formula>D6="Spieler 7"</formula>
    </cfRule>
    <cfRule type="expression" priority="21" dxfId="0" stopIfTrue="1">
      <formula>E6="Spieler 15"</formula>
    </cfRule>
  </conditionalFormatting>
  <conditionalFormatting sqref="L7">
    <cfRule type="expression" priority="22" dxfId="2" stopIfTrue="1">
      <formula>T7+U7&gt;0</formula>
    </cfRule>
    <cfRule type="expression" priority="23" dxfId="0" stopIfTrue="1">
      <formula>D7="Spieler 2"</formula>
    </cfRule>
    <cfRule type="expression" priority="24" dxfId="0" stopIfTrue="1">
      <formula>E7="Spieler 10"</formula>
    </cfRule>
  </conditionalFormatting>
  <conditionalFormatting sqref="L8">
    <cfRule type="expression" priority="25" dxfId="2" stopIfTrue="1">
      <formula>T8+U8&gt;0</formula>
    </cfRule>
    <cfRule type="expression" priority="26" dxfId="0" stopIfTrue="1">
      <formula>D8="Spieler 6"</formula>
    </cfRule>
    <cfRule type="expression" priority="27" dxfId="0" stopIfTrue="1">
      <formula>E8="Spieler 14"</formula>
    </cfRule>
  </conditionalFormatting>
  <conditionalFormatting sqref="L9">
    <cfRule type="expression" priority="28" dxfId="2" stopIfTrue="1">
      <formula>T9+U9&gt;0</formula>
    </cfRule>
    <cfRule type="expression" priority="29" dxfId="0" stopIfTrue="1">
      <formula>D9="Spieler 4"</formula>
    </cfRule>
    <cfRule type="expression" priority="30" dxfId="0" stopIfTrue="1">
      <formula>E9="Spieler 12"</formula>
    </cfRule>
  </conditionalFormatting>
  <conditionalFormatting sqref="L10">
    <cfRule type="expression" priority="31" dxfId="2" stopIfTrue="1">
      <formula>T10+U10&gt;0</formula>
    </cfRule>
    <cfRule type="expression" priority="32" dxfId="0" stopIfTrue="1">
      <formula>D10="Spieler 8"</formula>
    </cfRule>
    <cfRule type="expression" priority="33" dxfId="0" stopIfTrue="1">
      <formula>E10="Spieler 16"</formula>
    </cfRule>
  </conditionalFormatting>
  <conditionalFormatting sqref="L11">
    <cfRule type="expression" priority="34" dxfId="2" stopIfTrue="1">
      <formula>T11+U11&gt;0</formula>
    </cfRule>
    <cfRule type="expression" priority="35" dxfId="0" stopIfTrue="1">
      <formula>D11="Verlierer 1"</formula>
    </cfRule>
    <cfRule type="expression" priority="36" dxfId="0" stopIfTrue="1">
      <formula>E11="Verlierer 2"</formula>
    </cfRule>
  </conditionalFormatting>
  <conditionalFormatting sqref="L12">
    <cfRule type="expression" priority="37" dxfId="2" stopIfTrue="1">
      <formula>T12+U12&gt;0</formula>
    </cfRule>
    <cfRule type="expression" priority="38" dxfId="0" stopIfTrue="1">
      <formula>D12="Verlierer 3"</formula>
    </cfRule>
    <cfRule type="expression" priority="39" dxfId="0" stopIfTrue="1">
      <formula>E12="Verlierer 4"</formula>
    </cfRule>
  </conditionalFormatting>
  <conditionalFormatting sqref="L13">
    <cfRule type="expression" priority="40" dxfId="2" stopIfTrue="1">
      <formula>T13+U13&gt;0</formula>
    </cfRule>
    <cfRule type="expression" priority="41" dxfId="0" stopIfTrue="1">
      <formula>D13="Verlierer 5"</formula>
    </cfRule>
    <cfRule type="expression" priority="42" dxfId="0" stopIfTrue="1">
      <formula>E13="Verlierer 6"</formula>
    </cfRule>
  </conditionalFormatting>
  <conditionalFormatting sqref="L14">
    <cfRule type="expression" priority="43" dxfId="2" stopIfTrue="1">
      <formula>T14+U14&gt;0</formula>
    </cfRule>
    <cfRule type="expression" priority="44" dxfId="0" stopIfTrue="1">
      <formula>D14="Verlierer 7"</formula>
    </cfRule>
    <cfRule type="expression" priority="45" dxfId="0" stopIfTrue="1">
      <formula>E14="Verlierer 8"</formula>
    </cfRule>
  </conditionalFormatting>
  <conditionalFormatting sqref="L15">
    <cfRule type="expression" priority="46" dxfId="2" stopIfTrue="1">
      <formula>T15+U15&gt;0</formula>
    </cfRule>
    <cfRule type="expression" priority="47" dxfId="0" stopIfTrue="1">
      <formula>D15="Sieger 1"</formula>
    </cfRule>
    <cfRule type="expression" priority="48" dxfId="0" stopIfTrue="1">
      <formula>E15="Sieger 2"</formula>
    </cfRule>
  </conditionalFormatting>
  <conditionalFormatting sqref="L16">
    <cfRule type="expression" priority="49" dxfId="2" stopIfTrue="1">
      <formula>T16+U16&gt;0</formula>
    </cfRule>
    <cfRule type="expression" priority="50" dxfId="0" stopIfTrue="1">
      <formula>D16="Sieger 3"</formula>
    </cfRule>
    <cfRule type="expression" priority="51" dxfId="0" stopIfTrue="1">
      <formula>E16="Sieger 4"</formula>
    </cfRule>
  </conditionalFormatting>
  <conditionalFormatting sqref="L17">
    <cfRule type="expression" priority="52" dxfId="2" stopIfTrue="1">
      <formula>T17+U17&gt;0</formula>
    </cfRule>
    <cfRule type="expression" priority="53" dxfId="0" stopIfTrue="1">
      <formula>D17="Sieger 5"</formula>
    </cfRule>
    <cfRule type="expression" priority="54" dxfId="0" stopIfTrue="1">
      <formula>E17="Sieger 6"</formula>
    </cfRule>
  </conditionalFormatting>
  <conditionalFormatting sqref="L18">
    <cfRule type="expression" priority="55" dxfId="2" stopIfTrue="1">
      <formula>T18+U18&gt;0</formula>
    </cfRule>
    <cfRule type="expression" priority="56" dxfId="0" stopIfTrue="1">
      <formula>D18="Sieger 7"</formula>
    </cfRule>
    <cfRule type="expression" priority="57" dxfId="0" stopIfTrue="1">
      <formula>E18="Sieger 8"</formula>
    </cfRule>
  </conditionalFormatting>
  <conditionalFormatting sqref="L19">
    <cfRule type="expression" priority="58" dxfId="2" stopIfTrue="1">
      <formula>T19+U19&gt;0</formula>
    </cfRule>
    <cfRule type="expression" priority="59" dxfId="0" stopIfTrue="1">
      <formula>D19="Sieger 9"</formula>
    </cfRule>
    <cfRule type="expression" priority="60" dxfId="0" stopIfTrue="1">
      <formula>E19="Verlierer 16"</formula>
    </cfRule>
  </conditionalFormatting>
  <conditionalFormatting sqref="L20">
    <cfRule type="expression" priority="61" dxfId="2" stopIfTrue="1">
      <formula>T20+U20&gt;0</formula>
    </cfRule>
    <cfRule type="expression" priority="62" dxfId="0" stopIfTrue="1">
      <formula>D20="Sieger 10"</formula>
    </cfRule>
    <cfRule type="expression" priority="63" dxfId="0" stopIfTrue="1">
      <formula>E20="Verlierer 15"</formula>
    </cfRule>
  </conditionalFormatting>
  <conditionalFormatting sqref="L21">
    <cfRule type="expression" priority="64" dxfId="2" stopIfTrue="1">
      <formula>T21+U21&gt;0</formula>
    </cfRule>
    <cfRule type="expression" priority="65" dxfId="0" stopIfTrue="1">
      <formula>"Sieger 11"</formula>
    </cfRule>
    <cfRule type="expression" priority="66" dxfId="0" stopIfTrue="1">
      <formula>E21="Verlierer 14"</formula>
    </cfRule>
  </conditionalFormatting>
  <conditionalFormatting sqref="L22">
    <cfRule type="expression" priority="67" dxfId="2" stopIfTrue="1">
      <formula>T22+U22&gt;0</formula>
    </cfRule>
    <cfRule type="expression" priority="68" dxfId="0" stopIfTrue="1">
      <formula>D22="Sieger 12"</formula>
    </cfRule>
    <cfRule type="expression" priority="69" dxfId="0" stopIfTrue="1">
      <formula>E22="Verlierer 13"</formula>
    </cfRule>
  </conditionalFormatting>
  <conditionalFormatting sqref="L23">
    <cfRule type="expression" priority="70" dxfId="2" stopIfTrue="1">
      <formula>T23+U23&gt;0</formula>
    </cfRule>
    <cfRule type="expression" priority="71" dxfId="0" stopIfTrue="1">
      <formula>D23="Sieger 17"</formula>
    </cfRule>
    <cfRule type="expression" priority="72" dxfId="0" stopIfTrue="1">
      <formula>E23="Sieger 18"</formula>
    </cfRule>
  </conditionalFormatting>
  <conditionalFormatting sqref="L24">
    <cfRule type="expression" priority="73" dxfId="2" stopIfTrue="1">
      <formula>T24+U24&gt;0</formula>
    </cfRule>
    <cfRule type="expression" priority="74" dxfId="0" stopIfTrue="1">
      <formula>D24="Sieger 19"</formula>
    </cfRule>
    <cfRule type="expression" priority="75" dxfId="0" stopIfTrue="1">
      <formula>E24="Sieger 20"</formula>
    </cfRule>
  </conditionalFormatting>
  <conditionalFormatting sqref="L25">
    <cfRule type="expression" priority="76" dxfId="2" stopIfTrue="1">
      <formula>T25+U25&gt;0</formula>
    </cfRule>
    <cfRule type="expression" priority="77" dxfId="0" stopIfTrue="1">
      <formula>D25="Sieger 13"</formula>
    </cfRule>
    <cfRule type="expression" priority="78" dxfId="0" stopIfTrue="1">
      <formula>E25="Sieger 14"</formula>
    </cfRule>
  </conditionalFormatting>
  <conditionalFormatting sqref="L26">
    <cfRule type="expression" priority="79" dxfId="2" stopIfTrue="1">
      <formula>T26+U26&gt;0</formula>
    </cfRule>
    <cfRule type="expression" priority="80" dxfId="0" stopIfTrue="1">
      <formula>D26="Sieger 15"</formula>
    </cfRule>
    <cfRule type="expression" priority="81" dxfId="0" stopIfTrue="1">
      <formula>E26="Sieger 16"</formula>
    </cfRule>
  </conditionalFormatting>
  <conditionalFormatting sqref="L27">
    <cfRule type="expression" priority="82" dxfId="2" stopIfTrue="1">
      <formula>T27+U27&gt;0</formula>
    </cfRule>
    <cfRule type="expression" priority="83" dxfId="0" stopIfTrue="1">
      <formula>D27="Sieger 21"</formula>
    </cfRule>
    <cfRule type="expression" priority="84" dxfId="0" stopIfTrue="1">
      <formula>E27="Verlierer 23"</formula>
    </cfRule>
  </conditionalFormatting>
  <conditionalFormatting sqref="L28">
    <cfRule type="expression" priority="85" dxfId="2" stopIfTrue="1">
      <formula>T28+U28&gt;0</formula>
    </cfRule>
    <cfRule type="expression" priority="86" dxfId="0" stopIfTrue="1">
      <formula>D28="Sieger 22"</formula>
    </cfRule>
    <cfRule type="expression" priority="87" dxfId="0" stopIfTrue="1">
      <formula>E28="Verlierer 24"</formula>
    </cfRule>
  </conditionalFormatting>
  <conditionalFormatting sqref="L29">
    <cfRule type="expression" priority="88" dxfId="2" stopIfTrue="1">
      <formula>T29+U29&gt;0</formula>
    </cfRule>
    <cfRule type="expression" priority="89" dxfId="0" stopIfTrue="1">
      <formula>D29="Sieger 25"</formula>
    </cfRule>
    <cfRule type="expression" priority="90" dxfId="0" stopIfTrue="1">
      <formula>E29="Sieger 26"</formula>
    </cfRule>
  </conditionalFormatting>
  <conditionalFormatting sqref="L30">
    <cfRule type="expression" priority="91" dxfId="2" stopIfTrue="1">
      <formula>T30+U30&gt;0</formula>
    </cfRule>
    <cfRule type="expression" priority="92" dxfId="0" stopIfTrue="1">
      <formula>D30="Sieger 23"</formula>
    </cfRule>
    <cfRule type="expression" priority="93" dxfId="0" stopIfTrue="1">
      <formula>E30="Sieger 24"</formula>
    </cfRule>
  </conditionalFormatting>
  <conditionalFormatting sqref="L31">
    <cfRule type="expression" priority="94" dxfId="2" stopIfTrue="1">
      <formula>T31+U31&gt;0</formula>
    </cfRule>
    <cfRule type="expression" priority="95" dxfId="0" stopIfTrue="1">
      <formula>D31="Sieger 27"</formula>
    </cfRule>
    <cfRule type="expression" priority="96" dxfId="0" stopIfTrue="1">
      <formula>E31="Verlierer 28"</formula>
    </cfRule>
  </conditionalFormatting>
  <conditionalFormatting sqref="L32">
    <cfRule type="expression" priority="97" dxfId="2" stopIfTrue="1">
      <formula>T32+U32&gt;0</formula>
    </cfRule>
    <cfRule type="expression" priority="98" dxfId="0" stopIfTrue="1">
      <formula>D32="Sieger 28"</formula>
    </cfRule>
    <cfRule type="expression" priority="99" dxfId="0" stopIfTrue="1">
      <formula>E32="Sieger 29"</formula>
    </cfRule>
  </conditionalFormatting>
  <conditionalFormatting sqref="L33">
    <cfRule type="expression" priority="100" dxfId="2" stopIfTrue="1">
      <formula>T33+U33&gt;0</formula>
    </cfRule>
    <cfRule type="expression" priority="101" dxfId="0" stopIfTrue="1">
      <formula>D33="Sieger 30"</formula>
    </cfRule>
    <cfRule type="expression" priority="102" dxfId="0" stopIfTrue="1">
      <formula>E33="Verlierer 30"</formula>
    </cfRule>
  </conditionalFormatting>
  <dataValidations count="33">
    <dataValidation type="custom" allowBlank="1" showInputMessage="1" showErrorMessage="1" error="Eingabefehler: Spiele bzw. Punkte müssen bei Eingabe unterschiedlich sein !" sqref="G3:G33">
      <formula1>F3&lt;&gt;G3</formula1>
    </dataValidation>
    <dataValidation type="custom" allowBlank="1" showInputMessage="1" showErrorMessage="1" error="Eingabefehler: Spiele bzw. Punkte müssen bei Eingabe unterschiedlich sein !" sqref="F3:F33">
      <formula1>F3&lt;&gt;G3</formula1>
    </dataValidation>
    <dataValidation type="custom" allowBlank="1" showInputMessage="1" showErrorMessage="1" prompt="Spiel 31 nur notwendig, wenn Sieger Spiel 29 auch Sieger von Spiel 30 ist !!!" error="Tisch bereits vergeben - anderen Tisch auswählen !" sqref="L33">
      <formula1>H38&lt;&gt;2</formula1>
    </dataValidation>
    <dataValidation type="custom" allowBlank="1" showInputMessage="1" showErrorMessage="1" error="Tisch bereits vergeben - anderen Tisch auswählen !" sqref="L3">
      <formula1>$H$38&lt;&gt;2</formula1>
    </dataValidation>
    <dataValidation type="custom" allowBlank="1" showInputMessage="1" showErrorMessage="1" error="Tisch bereits vergeben - anderen Tisch auswählen !" sqref="L4">
      <formula1>H38&lt;&gt;2</formula1>
    </dataValidation>
    <dataValidation type="custom" allowBlank="1" showInputMessage="1" showErrorMessage="1" error="Tisch bereits vergeben - anderen Tisch auswählen !" sqref="L5">
      <formula1>H38&lt;&gt;2</formula1>
    </dataValidation>
    <dataValidation type="custom" allowBlank="1" showInputMessage="1" showErrorMessage="1" error="Tisch bereits vergeben - anderen Tisch auswählen !" sqref="L6">
      <formula1>H38&lt;&gt;2</formula1>
    </dataValidation>
    <dataValidation type="custom" allowBlank="1" showInputMessage="1" showErrorMessage="1" error="Tisch bereits vergeben - anderen Tisch auswählen !" sqref="L7">
      <formula1>H38&lt;&gt;2</formula1>
    </dataValidation>
    <dataValidation type="custom" allowBlank="1" showInputMessage="1" showErrorMessage="1" error="Tisch bereits vergeben - anderen Tisch auswählen !" sqref="L8">
      <formula1>H38&lt;&gt;2</formula1>
    </dataValidation>
    <dataValidation type="custom" allowBlank="1" showInputMessage="1" showErrorMessage="1" error="Tisch bereits vergeben - anderen Tisch auswählen !" sqref="L9">
      <formula1>H38&lt;&gt;2</formula1>
    </dataValidation>
    <dataValidation type="custom" allowBlank="1" showInputMessage="1" showErrorMessage="1" error="Tisch bereits vergeben - anderen Tisch auswählen !" sqref="L10">
      <formula1>H38&lt;&gt;2</formula1>
    </dataValidation>
    <dataValidation type="custom" allowBlank="1" showInputMessage="1" showErrorMessage="1" error="Tisch bereits vergeben - anderen Tisch auswählen !" sqref="L11">
      <formula1>H38&lt;&gt;2</formula1>
    </dataValidation>
    <dataValidation type="custom" allowBlank="1" showInputMessage="1" showErrorMessage="1" error="Tisch bereits vergeben - anderen Tisch auswählen !" sqref="L12">
      <formula1>H38&lt;&gt;2</formula1>
    </dataValidation>
    <dataValidation type="custom" allowBlank="1" showInputMessage="1" showErrorMessage="1" error="Tisch bereits vergeben - anderen Tisch auswählen !" sqref="L13">
      <formula1>H38&lt;&gt;2</formula1>
    </dataValidation>
    <dataValidation type="custom" allowBlank="1" showInputMessage="1" showErrorMessage="1" error="Tisch bereits vergeben - anderen Tisch auswählen !" sqref="L14">
      <formula1>H38&lt;&gt;2</formula1>
    </dataValidation>
    <dataValidation type="custom" allowBlank="1" showInputMessage="1" showErrorMessage="1" error="Tisch bereits vergeben - anderen Tisch auswählen !" sqref="L15">
      <formula1>H38&lt;&gt;2</formula1>
    </dataValidation>
    <dataValidation type="custom" allowBlank="1" showInputMessage="1" showErrorMessage="1" error="Tisch bereits vergeben - anderen Tisch auswählen !" sqref="L16">
      <formula1>H38&lt;&gt;2</formula1>
    </dataValidation>
    <dataValidation type="custom" allowBlank="1" showInputMessage="1" showErrorMessage="1" error="Tisch bereits vergeben - anderen Tisch auswählen !" sqref="L17">
      <formula1>H38&lt;&gt;2</formula1>
    </dataValidation>
    <dataValidation type="custom" allowBlank="1" showInputMessage="1" showErrorMessage="1" error="Tisch bereits vergeben - anderen Tisch auswählen !" sqref="L18">
      <formula1>H38&lt;&gt;2</formula1>
    </dataValidation>
    <dataValidation type="custom" allowBlank="1" showInputMessage="1" showErrorMessage="1" error="Tisch bereits vergeben - anderen Tisch auswählen !" sqref="L19">
      <formula1>H38&lt;&gt;2</formula1>
    </dataValidation>
    <dataValidation type="custom" allowBlank="1" showInputMessage="1" showErrorMessage="1" error="Tisch bereits vergeben - anderen Tisch auswählen !" sqref="L20">
      <formula1>H38&lt;&gt;2</formula1>
    </dataValidation>
    <dataValidation type="custom" allowBlank="1" showInputMessage="1" showErrorMessage="1" error="Tisch bereits vergeben - anderen Tisch auswählen !" sqref="L21">
      <formula1>H38&lt;&gt;2</formula1>
    </dataValidation>
    <dataValidation type="custom" allowBlank="1" showInputMessage="1" showErrorMessage="1" error="Tisch bereits vergeben - anderen Tisch auswählen !" sqref="L22">
      <formula1>H38&lt;&gt;2</formula1>
    </dataValidation>
    <dataValidation type="custom" allowBlank="1" showInputMessage="1" showErrorMessage="1" error="Tisch bereits vergeben - anderen Tisch auswählen !" sqref="L23">
      <formula1>H38&lt;&gt;2</formula1>
    </dataValidation>
    <dataValidation type="custom" allowBlank="1" showInputMessage="1" showErrorMessage="1" error="Tisch bereits vergeben - anderen Tisch auswählen !" sqref="L24">
      <formula1>H38&lt;&gt;2</formula1>
    </dataValidation>
    <dataValidation type="custom" allowBlank="1" showInputMessage="1" showErrorMessage="1" error="Tisch bereits vergeben - anderen Tisch auswählen !" sqref="L25">
      <formula1>H38&lt;&gt;2</formula1>
    </dataValidation>
    <dataValidation type="custom" allowBlank="1" showInputMessage="1" showErrorMessage="1" error="Tisch bereits vergeben - anderen Tisch auswählen !" sqref="L26">
      <formula1>H38&lt;&gt;2</formula1>
    </dataValidation>
    <dataValidation type="custom" allowBlank="1" showInputMessage="1" showErrorMessage="1" error="Tisch bereits vergeben - anderen Tisch auswählen !" sqref="L27">
      <formula1>H38&lt;&gt;2</formula1>
    </dataValidation>
    <dataValidation type="custom" allowBlank="1" showInputMessage="1" showErrorMessage="1" error="Tisch bereits vergeben - anderen Tisch auswählen !" sqref="L28">
      <formula1>H38&lt;&gt;2</formula1>
    </dataValidation>
    <dataValidation type="custom" allowBlank="1" showInputMessage="1" showErrorMessage="1" error="Tisch bereits vergeben - anderen Tisch auswählen !" sqref="L29">
      <formula1>H38&lt;&gt;2</formula1>
    </dataValidation>
    <dataValidation type="custom" allowBlank="1" showInputMessage="1" showErrorMessage="1" error="Tisch bereits vergeben - anderen Tisch auswählen !" sqref="L30">
      <formula1>H38&lt;&gt;2</formula1>
    </dataValidation>
    <dataValidation type="custom" allowBlank="1" showInputMessage="1" showErrorMessage="1" error="Tisch bereits vergeben - anderen Tisch auswählen !" sqref="L31">
      <formula1>H38&lt;&gt;2</formula1>
    </dataValidation>
    <dataValidation type="custom" allowBlank="1" showInputMessage="1" showErrorMessage="1" error="Tisch bereits vergeben - anderen Tisch auswählen !" sqref="L32">
      <formula1>H38&lt;&gt;2</formula1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2:S31"/>
  <sheetViews>
    <sheetView showGridLines="0" showRowColHeaders="0" showZeros="0" showOutlineSymbols="0" zoomScale="90" zoomScaleNormal="90" zoomScalePageLayoutView="0" workbookViewId="0" topLeftCell="A1">
      <selection activeCell="H18" sqref="H18"/>
    </sheetView>
  </sheetViews>
  <sheetFormatPr defaultColWidth="11.421875" defaultRowHeight="12.75"/>
  <cols>
    <col min="1" max="1" width="4.421875" style="6" customWidth="1"/>
    <col min="2" max="2" width="10.7109375" style="2" customWidth="1"/>
    <col min="3" max="3" width="4.421875" style="6" customWidth="1"/>
    <col min="4" max="4" width="10.7109375" style="2" customWidth="1"/>
    <col min="5" max="5" width="4.421875" style="6" customWidth="1"/>
    <col min="6" max="6" width="11.7109375" style="2" customWidth="1"/>
    <col min="7" max="7" width="4.421875" style="2" customWidth="1"/>
    <col min="8" max="8" width="11.7109375" style="6" customWidth="1"/>
    <col min="9" max="9" width="4.421875" style="2" customWidth="1"/>
    <col min="10" max="10" width="11.7109375" style="6" customWidth="1"/>
    <col min="11" max="11" width="4.421875" style="2" customWidth="1"/>
    <col min="12" max="12" width="11.7109375" style="2" customWidth="1"/>
    <col min="13" max="13" width="4.421875" style="6" customWidth="1"/>
    <col min="14" max="14" width="11.7109375" style="2" customWidth="1"/>
    <col min="15" max="15" width="4.421875" style="2" customWidth="1"/>
    <col min="16" max="16" width="11.7109375" style="2" customWidth="1"/>
    <col min="17" max="17" width="4.421875" style="2" customWidth="1"/>
    <col min="18" max="18" width="11.7109375" style="2" customWidth="1"/>
    <col min="19" max="20" width="4.421875" style="2" customWidth="1"/>
    <col min="21" max="21" width="10.7109375" style="2" customWidth="1"/>
    <col min="22" max="22" width="4.00390625" style="2" customWidth="1"/>
    <col min="23" max="23" width="5.28125" style="2" bestFit="1" customWidth="1"/>
    <col min="24" max="24" width="10.421875" style="2" bestFit="1" customWidth="1"/>
    <col min="25" max="26" width="2.00390625" style="2" customWidth="1"/>
    <col min="27" max="16384" width="11.421875" style="2" customWidth="1"/>
  </cols>
  <sheetData>
    <row r="2" ht="12.75">
      <c r="L2" s="7" t="str">
        <f>SP16!B3</f>
        <v>HR</v>
      </c>
    </row>
    <row r="3" ht="13.5" thickBot="1">
      <c r="N3" s="40"/>
    </row>
    <row r="4" spans="10:14" ht="13.5" thickBot="1">
      <c r="J4" s="7" t="str">
        <f>SP16!B11</f>
        <v>VR1</v>
      </c>
      <c r="K4" s="46">
        <f>SP16!C3</f>
        <v>1</v>
      </c>
      <c r="L4" s="41" t="str">
        <f>SP16!D3</f>
        <v>Spieler 1</v>
      </c>
      <c r="M4" s="157">
        <f>SP16!F3</f>
        <v>0</v>
      </c>
      <c r="N4" s="7" t="str">
        <f>SP16!B15</f>
        <v>GR1</v>
      </c>
    </row>
    <row r="5" spans="10:13" ht="13.5" thickBot="1">
      <c r="J5" s="48" t="s">
        <v>100</v>
      </c>
      <c r="K5" s="42">
        <f>IF(SP16!L3&gt;0,SP16!L3,"")</f>
      </c>
      <c r="L5" s="43" t="str">
        <f>SP16!E3</f>
        <v>Spieler 9</v>
      </c>
      <c r="M5" s="158">
        <f>SP16!G3</f>
        <v>0</v>
      </c>
    </row>
    <row r="6" spans="8:15" ht="13.5" thickBot="1">
      <c r="H6" s="7" t="str">
        <f>SP16!B19</f>
        <v>VR2</v>
      </c>
      <c r="I6" s="46">
        <f>SP16!C11</f>
        <v>9</v>
      </c>
      <c r="J6" s="160" t="str">
        <f>SP16!D11</f>
        <v>Verlierer 1</v>
      </c>
      <c r="K6" s="157">
        <f>SP16!F11</f>
        <v>0</v>
      </c>
      <c r="M6" s="46">
        <f>SP16!C15</f>
        <v>13</v>
      </c>
      <c r="N6" s="41" t="str">
        <f>SP16!D15</f>
        <v>Sieger 1</v>
      </c>
      <c r="O6" s="41">
        <f>SP16!F15</f>
        <v>0</v>
      </c>
    </row>
    <row r="7" spans="8:16" ht="13.5" thickBot="1">
      <c r="H7" s="48" t="s">
        <v>99</v>
      </c>
      <c r="I7" s="42">
        <f>IF(SP16!L11&gt;0,SP16!L11,"")</f>
      </c>
      <c r="J7" s="161" t="str">
        <f>SP16!E11</f>
        <v>Verlierer 2</v>
      </c>
      <c r="K7" s="158">
        <f>SP16!G11</f>
        <v>0</v>
      </c>
      <c r="M7" s="42">
        <f>IF(SP16!L15&gt;0,SP16!L15,"")</f>
      </c>
      <c r="N7" s="43" t="str">
        <f>SP16!E15</f>
        <v>Sieger 2</v>
      </c>
      <c r="O7" s="43">
        <f>SP16!G15</f>
        <v>0</v>
      </c>
      <c r="P7" s="7" t="str">
        <f>SP16!B25</f>
        <v>GR2</v>
      </c>
    </row>
    <row r="8" spans="7:14" ht="13.5" thickBot="1">
      <c r="G8" s="46">
        <f>SP16!C19</f>
        <v>17</v>
      </c>
      <c r="H8" s="41" t="str">
        <f>SP16!D19</f>
        <v>Sieger 9</v>
      </c>
      <c r="I8" s="157">
        <f>SP16!F19</f>
        <v>0</v>
      </c>
      <c r="K8" s="46">
        <f>SP16!C4</f>
        <v>2</v>
      </c>
      <c r="L8" s="41" t="str">
        <f>SP16!D4</f>
        <v>Spieler 5</v>
      </c>
      <c r="M8" s="157">
        <f>SP16!F4</f>
        <v>0</v>
      </c>
      <c r="N8" s="44" t="s">
        <v>64</v>
      </c>
    </row>
    <row r="9" spans="6:17" ht="13.5" thickBot="1">
      <c r="F9" s="7" t="str">
        <f>SP16!B23</f>
        <v>VR3</v>
      </c>
      <c r="G9" s="42">
        <f>IF(SP16!L19&gt;0,SP16!L19,"")</f>
      </c>
      <c r="H9" s="43" t="str">
        <f>SP16!E19</f>
        <v>Verlierer 16</v>
      </c>
      <c r="I9" s="158">
        <f>SP16!G19</f>
        <v>0</v>
      </c>
      <c r="K9" s="42">
        <f>IF(SP16!L4&gt;0,SP16!L4,"")</f>
      </c>
      <c r="L9" s="43" t="str">
        <f>SP16!E4</f>
        <v>Spieler 13</v>
      </c>
      <c r="M9" s="158">
        <f>SP16!G4</f>
        <v>0</v>
      </c>
      <c r="O9" s="46">
        <f>SP16!C25</f>
        <v>23</v>
      </c>
      <c r="P9" s="41" t="str">
        <f>SP16!D25</f>
        <v>Sieger 13</v>
      </c>
      <c r="Q9" s="41">
        <f>SP16!F25</f>
        <v>0</v>
      </c>
    </row>
    <row r="10" spans="6:17" ht="13.5" thickBot="1">
      <c r="F10" s="48" t="s">
        <v>98</v>
      </c>
      <c r="O10" s="42">
        <f>IF(SP16!L25&gt;0,SP16!L25,"")</f>
      </c>
      <c r="P10" s="156" t="str">
        <f>SP16!E25</f>
        <v>Sieger 14</v>
      </c>
      <c r="Q10" s="43">
        <f>SP16!G25</f>
        <v>0</v>
      </c>
    </row>
    <row r="11" spans="4:16" ht="13.5" thickBot="1">
      <c r="D11" s="7" t="str">
        <f>SP16!B27</f>
        <v>VR4</v>
      </c>
      <c r="E11" s="46">
        <f>SP16!C23</f>
        <v>21</v>
      </c>
      <c r="F11" s="41" t="str">
        <f>SP16!D23</f>
        <v>Sieger 17</v>
      </c>
      <c r="G11" s="157">
        <f>SP16!F23</f>
        <v>0</v>
      </c>
      <c r="K11" s="46">
        <f>SP16!C5</f>
        <v>3</v>
      </c>
      <c r="L11" s="160" t="str">
        <f>SP16!D5</f>
        <v>Spieler 3</v>
      </c>
      <c r="M11" s="157">
        <f>SP16!F5</f>
        <v>0</v>
      </c>
      <c r="P11" s="44" t="s">
        <v>126</v>
      </c>
    </row>
    <row r="12" spans="4:13" ht="13.5" thickBot="1">
      <c r="D12" s="48" t="s">
        <v>97</v>
      </c>
      <c r="E12" s="42">
        <f>IF(SP16!L23&gt;0,SP16!L23,"")</f>
      </c>
      <c r="F12" s="43" t="str">
        <f>SP16!E23</f>
        <v>Sieger 18</v>
      </c>
      <c r="G12" s="158">
        <f>SP16!G23</f>
        <v>0</v>
      </c>
      <c r="K12" s="42">
        <f>IF(SP16!L5&gt;0,SP16!L5,"")</f>
      </c>
      <c r="L12" s="161" t="str">
        <f>SP16!E5</f>
        <v>Spieler 11</v>
      </c>
      <c r="M12" s="158">
        <f>SP16!G5</f>
        <v>0</v>
      </c>
    </row>
    <row r="13" spans="3:15" ht="13.5" thickBot="1">
      <c r="C13" s="46">
        <f>SP16!C27</f>
        <v>25</v>
      </c>
      <c r="D13" s="41" t="str">
        <f>SP16!D27</f>
        <v>Sieger 21</v>
      </c>
      <c r="E13" s="157">
        <f>SP16!F27</f>
        <v>0</v>
      </c>
      <c r="I13" s="46">
        <f>SP16!C12</f>
        <v>10</v>
      </c>
      <c r="J13" s="159" t="str">
        <f>SP16!D12</f>
        <v>Verlierer 3</v>
      </c>
      <c r="K13" s="157">
        <f>SP16!F12</f>
        <v>0</v>
      </c>
      <c r="M13" s="46">
        <f>SP16!C16</f>
        <v>14</v>
      </c>
      <c r="N13" s="41" t="str">
        <f>SP16!D16</f>
        <v>Sieger 3</v>
      </c>
      <c r="O13" s="41">
        <f>SP16!F16</f>
        <v>0</v>
      </c>
    </row>
    <row r="14" spans="3:15" ht="13.5" thickBot="1">
      <c r="C14" s="42">
        <f>IF(SP16!L27&gt;0,SP16!L27,"")</f>
      </c>
      <c r="D14" s="43" t="str">
        <f>SP16!E27</f>
        <v>Verlierer 23</v>
      </c>
      <c r="E14" s="158">
        <f>SP16!G27</f>
        <v>0</v>
      </c>
      <c r="I14" s="42">
        <f>IF(SP16!L12&gt;0,SP16!L12,"")</f>
      </c>
      <c r="J14" s="43" t="str">
        <f>SP16!E12</f>
        <v>Verlierer 4</v>
      </c>
      <c r="K14" s="158">
        <f>SP16!G12</f>
        <v>0</v>
      </c>
      <c r="M14" s="42">
        <f>IF(SP16!L16&gt;0,SP16!L16,"")</f>
      </c>
      <c r="N14" s="43" t="str">
        <f>SP16!E16</f>
        <v>Sieger 4</v>
      </c>
      <c r="O14" s="43">
        <f>SP16!G16</f>
        <v>0</v>
      </c>
    </row>
    <row r="15" spans="7:18" ht="13.5" thickBot="1">
      <c r="G15" s="46">
        <f>SP16!C20</f>
        <v>18</v>
      </c>
      <c r="H15" s="41" t="str">
        <f>SP16!D20</f>
        <v>Sieger 10</v>
      </c>
      <c r="I15" s="157">
        <f>SP16!F20</f>
        <v>0</v>
      </c>
      <c r="K15" s="46">
        <f>SP16!C6</f>
        <v>4</v>
      </c>
      <c r="L15" s="160" t="str">
        <f>SP16!D6</f>
        <v>Spieler 7</v>
      </c>
      <c r="M15" s="157">
        <f>SP16!F6</f>
        <v>0</v>
      </c>
      <c r="N15" s="44" t="s">
        <v>63</v>
      </c>
      <c r="R15" s="7" t="str">
        <f>SP16!B30</f>
        <v>GR3</v>
      </c>
    </row>
    <row r="16" spans="1:19" ht="13.5" thickBot="1">
      <c r="A16" s="2"/>
      <c r="B16" s="7" t="str">
        <f>SP16!B29</f>
        <v>VR5</v>
      </c>
      <c r="G16" s="42">
        <f>IF(SP16!L20&gt;0,SP16!L20,"")</f>
      </c>
      <c r="H16" s="43" t="str">
        <f>SP16!E20</f>
        <v>Verlierer 15</v>
      </c>
      <c r="I16" s="158">
        <f>SP16!G20</f>
        <v>0</v>
      </c>
      <c r="K16" s="42">
        <f>IF(SP16!L6&gt;0,SP16!L6,"")</f>
      </c>
      <c r="L16" s="161" t="str">
        <f>SP16!E6</f>
        <v>Spieler 15</v>
      </c>
      <c r="M16" s="158">
        <f>SP16!G6</f>
        <v>0</v>
      </c>
      <c r="Q16" s="46">
        <f>SP16!C30</f>
        <v>28</v>
      </c>
      <c r="R16" s="41" t="str">
        <f>SP16!D30</f>
        <v>Sieger 23</v>
      </c>
      <c r="S16" s="41">
        <f>SP16!F30</f>
        <v>0</v>
      </c>
    </row>
    <row r="17" spans="1:19" ht="13.5" thickBot="1">
      <c r="A17" s="2"/>
      <c r="B17" s="48" t="s">
        <v>96</v>
      </c>
      <c r="Q17" s="42">
        <f>IF(SP16!L30&gt;0,SP16!L30,"")</f>
      </c>
      <c r="R17" s="43" t="str">
        <f>SP16!E30</f>
        <v>Sieger 24</v>
      </c>
      <c r="S17" s="43">
        <f>SP16!G30</f>
        <v>0</v>
      </c>
    </row>
    <row r="18" spans="1:18" ht="13.5" thickBot="1">
      <c r="A18" s="46">
        <f>SP16!C29</f>
        <v>27</v>
      </c>
      <c r="B18" s="41" t="str">
        <f>SP16!D29</f>
        <v>Sieger 25</v>
      </c>
      <c r="C18" s="157">
        <f>SP16!F29</f>
        <v>0</v>
      </c>
      <c r="K18" s="46">
        <f>SP16!C7</f>
        <v>5</v>
      </c>
      <c r="L18" s="160" t="str">
        <f>SP16!D7</f>
        <v>Spieler 2</v>
      </c>
      <c r="M18" s="157">
        <f>SP16!F7</f>
        <v>0</v>
      </c>
      <c r="R18" s="44" t="s">
        <v>127</v>
      </c>
    </row>
    <row r="19" spans="1:19" ht="13.5" thickBot="1">
      <c r="A19" s="42">
        <f>IF(SP16!L29&gt;0,SP16!L29,"")</f>
      </c>
      <c r="B19" s="43" t="str">
        <f>SP16!E29</f>
        <v>Sieger 26</v>
      </c>
      <c r="C19" s="158">
        <f>SP16!G29</f>
        <v>0</v>
      </c>
      <c r="K19" s="42">
        <f>IF(SP16!L7&gt;0,SP16!L7,"")</f>
      </c>
      <c r="L19" s="161" t="str">
        <f>SP16!E7</f>
        <v>Spieler 10</v>
      </c>
      <c r="M19" s="158">
        <f>SP16!G7</f>
        <v>0</v>
      </c>
      <c r="Q19" s="204"/>
      <c r="R19" s="205" t="str">
        <f>SP16!B32</f>
        <v>ER1</v>
      </c>
      <c r="S19" s="204"/>
    </row>
    <row r="20" spans="1:19" ht="13.5" thickBot="1">
      <c r="A20" s="2"/>
      <c r="I20" s="46">
        <f>SP16!C13</f>
        <v>11</v>
      </c>
      <c r="J20" s="41" t="str">
        <f>SP16!D13</f>
        <v>Verlierer 5</v>
      </c>
      <c r="K20" s="157">
        <f>SP16!F13</f>
        <v>0</v>
      </c>
      <c r="M20" s="46">
        <f>SP16!C17</f>
        <v>15</v>
      </c>
      <c r="N20" s="41" t="str">
        <f>SP16!D17</f>
        <v>Sieger 5</v>
      </c>
      <c r="O20" s="41">
        <f>SP16!F17</f>
        <v>0</v>
      </c>
      <c r="Q20" s="46">
        <f>SP16!C32</f>
        <v>30</v>
      </c>
      <c r="R20" s="41" t="str">
        <f>SP16!D32</f>
        <v>Sieger 28</v>
      </c>
      <c r="S20" s="41">
        <f>SP16!F32</f>
        <v>0</v>
      </c>
    </row>
    <row r="21" spans="1:19" ht="13.5" thickBot="1">
      <c r="A21" s="2"/>
      <c r="B21" s="7" t="str">
        <f>SP16!B31</f>
        <v>VR6</v>
      </c>
      <c r="I21" s="162">
        <f>IF(SP16!L13&gt;0,SP16!L13,"")</f>
      </c>
      <c r="J21" s="43" t="str">
        <f>SP16!E13</f>
        <v>Verlierer 6</v>
      </c>
      <c r="K21" s="158">
        <f>SP16!G13</f>
        <v>0</v>
      </c>
      <c r="M21" s="42">
        <f>IF(SP16!L17&gt;0,SP16!L17,"")</f>
      </c>
      <c r="N21" s="43" t="str">
        <f>SP16!E17</f>
        <v>Sieger 6</v>
      </c>
      <c r="O21" s="43">
        <f>SP16!G17</f>
        <v>0</v>
      </c>
      <c r="Q21" s="42">
        <f>IF(SP16!L32&gt;0,SP16!L32,"")</f>
      </c>
      <c r="R21" s="43" t="str">
        <f>SP16!E32</f>
        <v>Sieger 29</v>
      </c>
      <c r="S21" s="43">
        <f>SP16!G32</f>
        <v>0</v>
      </c>
    </row>
    <row r="22" spans="1:19" ht="13.5" thickBot="1">
      <c r="A22" s="2"/>
      <c r="B22" s="48" t="s">
        <v>101</v>
      </c>
      <c r="G22" s="46">
        <f>SP16!C21</f>
        <v>19</v>
      </c>
      <c r="H22" s="41" t="str">
        <f>SP16!D21</f>
        <v>Sieger 11</v>
      </c>
      <c r="I22" s="157">
        <f>SP16!F21</f>
        <v>0</v>
      </c>
      <c r="K22" s="46">
        <f>SP16!C8</f>
        <v>6</v>
      </c>
      <c r="L22" s="160" t="str">
        <f>SP16!D8</f>
        <v>Spieler 6</v>
      </c>
      <c r="M22" s="157">
        <f>SP16!F8</f>
        <v>0</v>
      </c>
      <c r="N22" s="44" t="s">
        <v>66</v>
      </c>
      <c r="Q22" s="204"/>
      <c r="R22" s="206"/>
      <c r="S22" s="204"/>
    </row>
    <row r="23" spans="1:17" ht="13.5" thickBot="1">
      <c r="A23" s="46">
        <f>SP16!C31</f>
        <v>29</v>
      </c>
      <c r="B23" s="41" t="str">
        <f>SP16!D31</f>
        <v>Sieger 27</v>
      </c>
      <c r="C23" s="157">
        <f>SP16!F31</f>
        <v>0</v>
      </c>
      <c r="G23" s="42">
        <f>IF(SP16!L21&gt;0,SP16!L21,"")</f>
      </c>
      <c r="H23" s="43" t="str">
        <f>SP16!E21</f>
        <v>Verlierer 14</v>
      </c>
      <c r="I23" s="158">
        <f>SP16!G21</f>
        <v>0</v>
      </c>
      <c r="K23" s="42">
        <f>IF(SP16!L8&gt;0,SP16!L8,"")</f>
      </c>
      <c r="L23" s="161" t="str">
        <f>SP16!E8</f>
        <v>Spieler 14</v>
      </c>
      <c r="M23" s="158">
        <f>SP16!G8</f>
        <v>0</v>
      </c>
      <c r="O23" s="46">
        <f>SP16!C26</f>
        <v>24</v>
      </c>
      <c r="P23" s="41" t="str">
        <f>SP16!D26</f>
        <v>Sieger 15</v>
      </c>
      <c r="Q23" s="41">
        <f>SP16!F26</f>
        <v>0</v>
      </c>
    </row>
    <row r="24" spans="1:17" ht="13.5" thickBot="1">
      <c r="A24" s="42">
        <f>IF(SP16!L31&gt;0,SP16!L31,"")</f>
      </c>
      <c r="B24" s="43" t="str">
        <f>SP16!E31</f>
        <v>Verlierer 28</v>
      </c>
      <c r="C24" s="158">
        <f>SP16!G31</f>
        <v>0</v>
      </c>
      <c r="O24" s="42">
        <f>IF(SP16!L26&gt;0,SP16!L26,"")</f>
      </c>
      <c r="P24" s="43" t="str">
        <f>SP16!E26</f>
        <v>Sieger 16</v>
      </c>
      <c r="Q24" s="43">
        <f>SP16!G26</f>
        <v>0</v>
      </c>
    </row>
    <row r="25" spans="1:16" ht="13.5" thickBot="1">
      <c r="A25" s="2"/>
      <c r="B25" s="45" t="s">
        <v>68</v>
      </c>
      <c r="E25" s="46">
        <f>SP16!C24</f>
        <v>22</v>
      </c>
      <c r="F25" s="41" t="str">
        <f>SP16!D24</f>
        <v>Sieger 19</v>
      </c>
      <c r="G25" s="157">
        <f>SP16!F24</f>
        <v>0</v>
      </c>
      <c r="K25" s="46">
        <f>SP16!C9</f>
        <v>7</v>
      </c>
      <c r="L25" s="160" t="str">
        <f>SP16!D9</f>
        <v>Spieler 4</v>
      </c>
      <c r="M25" s="157">
        <f>SP16!F9</f>
        <v>0</v>
      </c>
      <c r="P25" s="44" t="s">
        <v>67</v>
      </c>
    </row>
    <row r="26" spans="5:19" ht="13.5" thickBot="1">
      <c r="E26" s="42">
        <f>IF(SP16!L24&gt;0,SP16!L24,"")</f>
      </c>
      <c r="F26" s="43" t="str">
        <f>SP16!E24</f>
        <v>Sieger 20</v>
      </c>
      <c r="G26" s="158">
        <f>SP16!G24</f>
        <v>0</v>
      </c>
      <c r="K26" s="42">
        <f>IF(SP16!L9&gt;0,SP16!L9,"")</f>
      </c>
      <c r="L26" s="161" t="str">
        <f>SP16!E9</f>
        <v>Spieler 12</v>
      </c>
      <c r="M26" s="158">
        <f>SP16!G9</f>
        <v>0</v>
      </c>
      <c r="Q26" s="204"/>
      <c r="R26" s="205" t="str">
        <f>SP16!B33</f>
        <v>ER2</v>
      </c>
      <c r="S26" s="204"/>
    </row>
    <row r="27" spans="3:19" ht="13.5" thickBot="1">
      <c r="C27" s="46">
        <f>SP16!C28</f>
        <v>26</v>
      </c>
      <c r="D27" s="159" t="str">
        <f>SP16!D28</f>
        <v>Sieger 22</v>
      </c>
      <c r="E27" s="157">
        <f>SP16!F28</f>
        <v>0</v>
      </c>
      <c r="I27" s="46">
        <f>SP16!C14</f>
        <v>12</v>
      </c>
      <c r="J27" s="159" t="str">
        <f>SP16!D14</f>
        <v>Verlierer 7</v>
      </c>
      <c r="K27" s="157">
        <f>SP16!F14</f>
        <v>0</v>
      </c>
      <c r="M27" s="46">
        <f>SP16!C18</f>
        <v>16</v>
      </c>
      <c r="N27" s="41" t="str">
        <f>SP16!D18</f>
        <v>Sieger 7</v>
      </c>
      <c r="O27" s="41">
        <f>SP16!F18</f>
        <v>0</v>
      </c>
      <c r="Q27" s="46">
        <f>SP16!C33</f>
        <v>31</v>
      </c>
      <c r="R27" s="41" t="str">
        <f>SP16!D33</f>
        <v>Sieger 30</v>
      </c>
      <c r="S27" s="41">
        <f>SP16!F33</f>
        <v>0</v>
      </c>
    </row>
    <row r="28" spans="3:19" ht="13.5" thickBot="1">
      <c r="C28" s="42">
        <f>IF(SP16!L28&gt;0,SP16!L28,"")</f>
      </c>
      <c r="D28" s="43" t="str">
        <f>SP16!E28</f>
        <v>Verlierer 24</v>
      </c>
      <c r="E28" s="158">
        <f>SP16!G28</f>
        <v>0</v>
      </c>
      <c r="I28" s="42">
        <f>IF(SP16!L14&gt;0,SP16!L14,"")</f>
      </c>
      <c r="J28" s="43" t="str">
        <f>SP16!E14</f>
        <v>Verlierer 8</v>
      </c>
      <c r="K28" s="158">
        <f>SP16!G14</f>
        <v>0</v>
      </c>
      <c r="M28" s="42">
        <f>IF(SP16!L18&gt;0,SP16!L18,"")</f>
      </c>
      <c r="N28" s="43" t="str">
        <f>SP16!E18</f>
        <v>Sieger 8</v>
      </c>
      <c r="O28" s="43">
        <f>SP16!G18</f>
        <v>0</v>
      </c>
      <c r="Q28" s="42">
        <f>IF(SP16!L33&gt;0,SP16!L33,"")</f>
      </c>
      <c r="R28" s="43" t="str">
        <f>SP16!E33</f>
        <v>Verlierer 30</v>
      </c>
      <c r="S28" s="43">
        <f>SP16!G33</f>
        <v>0</v>
      </c>
    </row>
    <row r="29" spans="7:19" ht="13.5" thickBot="1">
      <c r="G29" s="46">
        <f>SP16!C22</f>
        <v>20</v>
      </c>
      <c r="H29" s="41" t="str">
        <f>SP16!D22</f>
        <v>Sieger 12</v>
      </c>
      <c r="I29" s="157">
        <f>SP16!F22</f>
        <v>0</v>
      </c>
      <c r="K29" s="46">
        <f>SP16!C10</f>
        <v>8</v>
      </c>
      <c r="L29" s="160" t="str">
        <f>SP16!D10</f>
        <v>Spieler 8</v>
      </c>
      <c r="M29" s="157">
        <f>SP16!F10</f>
        <v>0</v>
      </c>
      <c r="N29" s="44" t="s">
        <v>65</v>
      </c>
      <c r="Q29" s="207" t="s">
        <v>102</v>
      </c>
      <c r="R29" s="204"/>
      <c r="S29" s="204"/>
    </row>
    <row r="30" spans="7:19" ht="13.5" thickBot="1">
      <c r="G30" s="42"/>
      <c r="H30" s="43" t="str">
        <f>SP16!E22</f>
        <v>Verlierer 13</v>
      </c>
      <c r="I30" s="158">
        <f>SP16!G22</f>
        <v>0</v>
      </c>
      <c r="K30" s="42">
        <f>IF(SP16!L10&gt;0,SP16!L10,"")</f>
      </c>
      <c r="L30" s="161" t="str">
        <f>SP16!E10</f>
        <v>Spieler 16</v>
      </c>
      <c r="M30" s="158">
        <f>SP16!G10</f>
        <v>0</v>
      </c>
      <c r="Q30" s="207" t="s">
        <v>69</v>
      </c>
      <c r="R30" s="204"/>
      <c r="S30" s="204"/>
    </row>
    <row r="31" ht="12.75">
      <c r="K31" s="47"/>
    </row>
  </sheetData>
  <sheetProtection sheet="1" objects="1" scenarios="1"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2:I14"/>
  <sheetViews>
    <sheetView showGridLines="0" showRowColHeaders="0" showZeros="0" showOutlineSymbols="0" zoomScale="140" zoomScaleNormal="140" zoomScalePageLayoutView="0" workbookViewId="0" topLeftCell="A1">
      <selection activeCell="E11" sqref="E11"/>
    </sheetView>
  </sheetViews>
  <sheetFormatPr defaultColWidth="11.421875" defaultRowHeight="12.75"/>
  <cols>
    <col min="1" max="7" width="11.421875" style="2" customWidth="1"/>
    <col min="8" max="8" width="13.00390625" style="2" bestFit="1" customWidth="1"/>
    <col min="9" max="16384" width="11.421875" style="2" customWidth="1"/>
  </cols>
  <sheetData>
    <row r="2" spans="2:8" ht="30">
      <c r="B2" s="239">
        <f>Auslosung_Turnierdaten!G26</f>
        <v>0</v>
      </c>
      <c r="C2" s="239"/>
      <c r="D2" s="239"/>
      <c r="E2" s="239"/>
      <c r="F2" s="239"/>
      <c r="G2" s="239"/>
      <c r="H2" s="239"/>
    </row>
    <row r="3" spans="2:8" ht="12.75">
      <c r="B3" s="240">
        <f>Auslosung_Turnierdaten!G28</f>
        <v>0</v>
      </c>
      <c r="C3" s="241"/>
      <c r="D3" s="241"/>
      <c r="E3" s="241"/>
      <c r="F3" s="241"/>
      <c r="G3" s="241"/>
      <c r="H3" s="241"/>
    </row>
    <row r="4" spans="2:8" ht="15">
      <c r="B4" s="242">
        <f>Auslosung_Turnierdaten!G27</f>
        <v>0</v>
      </c>
      <c r="C4" s="242"/>
      <c r="D4" s="242"/>
      <c r="E4" s="242"/>
      <c r="F4" s="242"/>
      <c r="G4" s="242"/>
      <c r="H4" s="242"/>
    </row>
    <row r="5" spans="2:8" ht="15">
      <c r="B5" s="167"/>
      <c r="C5" s="167"/>
      <c r="D5" s="167"/>
      <c r="E5" s="167"/>
      <c r="F5" s="167"/>
      <c r="G5" s="167"/>
      <c r="H5" s="167"/>
    </row>
    <row r="6" spans="2:5" ht="18">
      <c r="B6" s="168"/>
      <c r="C6" s="168"/>
      <c r="D6" s="168"/>
      <c r="E6" s="168"/>
    </row>
    <row r="7" spans="1:9" ht="18">
      <c r="A7" s="169"/>
      <c r="B7" s="243" t="s">
        <v>84</v>
      </c>
      <c r="C7" s="244"/>
      <c r="D7" s="170">
        <v>11</v>
      </c>
      <c r="E7" s="171"/>
      <c r="F7" s="243" t="s">
        <v>85</v>
      </c>
      <c r="G7" s="244"/>
      <c r="H7" s="172">
        <f>VLOOKUP($D$7,SP16_2,10,0)</f>
        <v>0</v>
      </c>
      <c r="I7" s="173"/>
    </row>
    <row r="8" ht="18">
      <c r="C8" s="168"/>
    </row>
    <row r="9" spans="2:8" ht="23.25">
      <c r="B9" s="245" t="str">
        <f>VLOOKUP($D$7,SP16,2,0)</f>
        <v>Verlierer 5</v>
      </c>
      <c r="C9" s="245"/>
      <c r="D9" s="245"/>
      <c r="E9" s="174" t="s">
        <v>86</v>
      </c>
      <c r="F9" s="245" t="str">
        <f>VLOOKUP($D$7,SP16,3,0)</f>
        <v>Verlierer 6</v>
      </c>
      <c r="G9" s="245"/>
      <c r="H9" s="245"/>
    </row>
    <row r="10" spans="2:8" ht="12.75">
      <c r="B10" s="236" t="s">
        <v>87</v>
      </c>
      <c r="C10" s="236"/>
      <c r="D10" s="236"/>
      <c r="E10" s="175"/>
      <c r="F10" s="236" t="s">
        <v>88</v>
      </c>
      <c r="G10" s="236"/>
      <c r="H10" s="236"/>
    </row>
    <row r="11" spans="2:8" ht="23.25">
      <c r="B11" s="237" t="s">
        <v>89</v>
      </c>
      <c r="C11" s="237"/>
      <c r="D11" s="237"/>
      <c r="E11" s="174" t="s">
        <v>86</v>
      </c>
      <c r="F11" s="237" t="s">
        <v>89</v>
      </c>
      <c r="G11" s="237"/>
      <c r="H11" s="237"/>
    </row>
    <row r="12" spans="2:8" ht="23.25">
      <c r="B12" s="176"/>
      <c r="C12" s="176"/>
      <c r="D12" s="176"/>
      <c r="E12" s="174"/>
      <c r="F12" s="176"/>
      <c r="G12" s="176"/>
      <c r="H12" s="176"/>
    </row>
    <row r="13" spans="1:9" ht="12.75">
      <c r="A13" s="238" t="s">
        <v>90</v>
      </c>
      <c r="B13" s="238"/>
      <c r="C13" s="238"/>
      <c r="D13" s="238"/>
      <c r="E13" s="238"/>
      <c r="F13" s="238"/>
      <c r="G13" s="238"/>
      <c r="H13" s="238"/>
      <c r="I13" s="238"/>
    </row>
    <row r="14" spans="1:9" ht="12.75">
      <c r="A14" s="238"/>
      <c r="B14" s="238"/>
      <c r="C14" s="238"/>
      <c r="D14" s="238"/>
      <c r="E14" s="238"/>
      <c r="F14" s="238"/>
      <c r="G14" s="238"/>
      <c r="H14" s="238"/>
      <c r="I14" s="238"/>
    </row>
  </sheetData>
  <sheetProtection/>
  <mergeCells count="13">
    <mergeCell ref="B9:D9"/>
    <mergeCell ref="F9:H9"/>
    <mergeCell ref="B10:D10"/>
    <mergeCell ref="F10:H10"/>
    <mergeCell ref="B11:D11"/>
    <mergeCell ref="F11:H11"/>
    <mergeCell ref="A13:I13"/>
    <mergeCell ref="A14:I14"/>
    <mergeCell ref="B2:H2"/>
    <mergeCell ref="B3:H3"/>
    <mergeCell ref="B4:H4"/>
    <mergeCell ref="B7:C7"/>
    <mergeCell ref="F7:G7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1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B2:O70"/>
  <sheetViews>
    <sheetView showGridLines="0" zoomScalePageLayoutView="0" workbookViewId="0" topLeftCell="B5">
      <selection activeCell="E24" sqref="E24"/>
    </sheetView>
  </sheetViews>
  <sheetFormatPr defaultColWidth="11.421875" defaultRowHeight="12.75"/>
  <cols>
    <col min="1" max="1" width="8.140625" style="2" hidden="1" customWidth="1"/>
    <col min="2" max="2" width="3.28125" style="2" customWidth="1"/>
    <col min="3" max="3" width="4.7109375" style="2" customWidth="1"/>
    <col min="4" max="4" width="18.8515625" style="2" bestFit="1" customWidth="1"/>
    <col min="5" max="5" width="19.8515625" style="2" bestFit="1" customWidth="1"/>
    <col min="6" max="7" width="9.140625" style="2" customWidth="1"/>
    <col min="8" max="8" width="6.8515625" style="2" customWidth="1"/>
    <col min="9" max="9" width="3.7109375" style="2" bestFit="1" customWidth="1"/>
    <col min="10" max="10" width="3.57421875" style="2" bestFit="1" customWidth="1"/>
    <col min="11" max="11" width="6.28125" style="2" bestFit="1" customWidth="1"/>
    <col min="12" max="12" width="6.28125" style="2" customWidth="1"/>
    <col min="13" max="13" width="7.8515625" style="5" customWidth="1"/>
    <col min="14" max="14" width="8.7109375" style="2" bestFit="1" customWidth="1"/>
    <col min="15" max="15" width="5.140625" style="2" customWidth="1"/>
    <col min="16" max="16384" width="11.421875" style="2" customWidth="1"/>
  </cols>
  <sheetData>
    <row r="1" ht="12.75" hidden="1"/>
    <row r="2" ht="12.75" hidden="1">
      <c r="D2" s="7"/>
    </row>
    <row r="3" ht="12.75" hidden="1">
      <c r="D3" s="7"/>
    </row>
    <row r="4" ht="12.75" hidden="1"/>
    <row r="5" ht="16.5" thickBot="1">
      <c r="D5" s="212">
        <f>IF(Auslosung_Turnierdaten!G26="","",Auslosung_Turnierdaten!G26)&amp;IF(Auslosung_Turnierdaten!G27="",""," - "&amp;Auslosung_Turnierdaten!G27)</f>
      </c>
    </row>
    <row r="6" spans="3:15" ht="13.5" thickBot="1">
      <c r="C6" s="19" t="s">
        <v>7</v>
      </c>
      <c r="D6" s="20" t="s">
        <v>3</v>
      </c>
      <c r="E6" s="21" t="s">
        <v>4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tr">
        <f>SP16!AF19</f>
        <v>GSp</v>
      </c>
      <c r="L6" s="22" t="str">
        <f>SP16!AG19</f>
        <v>VSp</v>
      </c>
      <c r="M6" s="22" t="str">
        <f>SP16!AH19</f>
        <v>Quot</v>
      </c>
      <c r="N6" s="23">
        <f>SP16!AI19</f>
      </c>
      <c r="O6" s="24">
        <f>SP16!AJ19</f>
      </c>
    </row>
    <row r="7" spans="3:15" ht="12.75">
      <c r="C7" s="209">
        <v>1</v>
      </c>
      <c r="D7" s="8" t="s">
        <v>164</v>
      </c>
      <c r="E7" s="9" t="s">
        <v>153</v>
      </c>
      <c r="F7" s="9">
        <v>0</v>
      </c>
      <c r="G7" s="9">
        <v>176593</v>
      </c>
      <c r="H7" s="25">
        <v>9</v>
      </c>
      <c r="I7" s="25">
        <v>1</v>
      </c>
      <c r="J7" s="25">
        <v>0</v>
      </c>
      <c r="K7" s="25">
        <v>2</v>
      </c>
      <c r="L7" s="25">
        <v>1</v>
      </c>
      <c r="M7" s="10">
        <v>2</v>
      </c>
      <c r="N7" s="10" t="s">
        <v>165</v>
      </c>
      <c r="O7" s="28" t="s">
        <v>165</v>
      </c>
    </row>
    <row r="8" spans="3:15" ht="12.75">
      <c r="C8" s="210">
        <v>2</v>
      </c>
      <c r="D8" s="11" t="s">
        <v>160</v>
      </c>
      <c r="E8" s="12" t="s">
        <v>151</v>
      </c>
      <c r="F8" s="12">
        <v>0</v>
      </c>
      <c r="G8" s="12">
        <v>140916</v>
      </c>
      <c r="H8" s="26">
        <v>9</v>
      </c>
      <c r="I8" s="26">
        <v>1</v>
      </c>
      <c r="J8" s="26">
        <v>0</v>
      </c>
      <c r="K8" s="26">
        <v>3</v>
      </c>
      <c r="L8" s="26">
        <v>2</v>
      </c>
      <c r="M8" s="13">
        <v>1.5</v>
      </c>
      <c r="N8" s="13" t="s">
        <v>165</v>
      </c>
      <c r="O8" s="29" t="s">
        <v>165</v>
      </c>
    </row>
    <row r="9" spans="3:15" ht="12.75">
      <c r="C9" s="210">
        <v>3</v>
      </c>
      <c r="D9" s="11" t="s">
        <v>157</v>
      </c>
      <c r="E9" s="12" t="s">
        <v>151</v>
      </c>
      <c r="F9" s="12">
        <v>0</v>
      </c>
      <c r="G9" s="12">
        <v>150347</v>
      </c>
      <c r="H9" s="26">
        <v>9</v>
      </c>
      <c r="I9" s="26">
        <v>1</v>
      </c>
      <c r="J9" s="26">
        <v>0</v>
      </c>
      <c r="K9" s="26">
        <v>4</v>
      </c>
      <c r="L9" s="26">
        <v>3</v>
      </c>
      <c r="M9" s="13">
        <v>1.3333333333333333</v>
      </c>
      <c r="N9" s="13" t="s">
        <v>165</v>
      </c>
      <c r="O9" s="29" t="s">
        <v>165</v>
      </c>
    </row>
    <row r="10" spans="3:15" ht="12.75">
      <c r="C10" s="210">
        <v>4</v>
      </c>
      <c r="D10" s="11" t="s">
        <v>162</v>
      </c>
      <c r="E10" s="12" t="s">
        <v>156</v>
      </c>
      <c r="F10" s="12">
        <v>0</v>
      </c>
      <c r="G10" s="12">
        <v>141490</v>
      </c>
      <c r="H10" s="26">
        <v>9</v>
      </c>
      <c r="I10" s="26">
        <v>1</v>
      </c>
      <c r="J10" s="26">
        <v>0</v>
      </c>
      <c r="K10" s="26">
        <v>5</v>
      </c>
      <c r="L10" s="26">
        <v>4</v>
      </c>
      <c r="M10" s="13">
        <v>1.25</v>
      </c>
      <c r="N10" s="13" t="s">
        <v>165</v>
      </c>
      <c r="O10" s="29" t="s">
        <v>165</v>
      </c>
    </row>
    <row r="11" spans="3:15" ht="12.75">
      <c r="C11" s="210">
        <v>5</v>
      </c>
      <c r="D11" s="11" t="s">
        <v>159</v>
      </c>
      <c r="E11" s="12" t="s">
        <v>154</v>
      </c>
      <c r="F11" s="12">
        <v>0</v>
      </c>
      <c r="G11" s="12">
        <v>162343</v>
      </c>
      <c r="H11" s="26">
        <v>6</v>
      </c>
      <c r="I11" s="26">
        <v>0</v>
      </c>
      <c r="J11" s="26">
        <v>1</v>
      </c>
      <c r="K11" s="26">
        <v>4</v>
      </c>
      <c r="L11" s="26">
        <v>5</v>
      </c>
      <c r="M11" s="13">
        <v>0.8</v>
      </c>
      <c r="N11" s="13" t="s">
        <v>165</v>
      </c>
      <c r="O11" s="29" t="s">
        <v>165</v>
      </c>
    </row>
    <row r="12" spans="3:15" ht="12.75">
      <c r="C12" s="210">
        <v>6</v>
      </c>
      <c r="D12" s="11" t="s">
        <v>158</v>
      </c>
      <c r="E12" s="12" t="s">
        <v>155</v>
      </c>
      <c r="F12" s="12">
        <v>0</v>
      </c>
      <c r="G12" s="12">
        <v>149625</v>
      </c>
      <c r="H12" s="26">
        <v>6</v>
      </c>
      <c r="I12" s="26">
        <v>0</v>
      </c>
      <c r="J12" s="26">
        <v>1</v>
      </c>
      <c r="K12" s="26">
        <v>3</v>
      </c>
      <c r="L12" s="26">
        <v>4</v>
      </c>
      <c r="M12" s="13">
        <v>0.75</v>
      </c>
      <c r="N12" s="13" t="s">
        <v>165</v>
      </c>
      <c r="O12" s="29" t="s">
        <v>165</v>
      </c>
    </row>
    <row r="13" spans="3:15" ht="12.75">
      <c r="C13" s="210">
        <v>7</v>
      </c>
      <c r="D13" s="11" t="s">
        <v>161</v>
      </c>
      <c r="E13" s="12" t="s">
        <v>152</v>
      </c>
      <c r="F13" s="12">
        <v>0</v>
      </c>
      <c r="G13" s="12">
        <v>164727</v>
      </c>
      <c r="H13" s="26">
        <v>6</v>
      </c>
      <c r="I13" s="26">
        <v>0</v>
      </c>
      <c r="J13" s="26">
        <v>1</v>
      </c>
      <c r="K13" s="26">
        <v>2</v>
      </c>
      <c r="L13" s="26">
        <v>3</v>
      </c>
      <c r="M13" s="13">
        <v>0.6666666666666666</v>
      </c>
      <c r="N13" s="13" t="s">
        <v>165</v>
      </c>
      <c r="O13" s="29" t="s">
        <v>165</v>
      </c>
    </row>
    <row r="14" spans="3:15" ht="12.75">
      <c r="C14" s="210">
        <v>8</v>
      </c>
      <c r="D14" s="11" t="s">
        <v>163</v>
      </c>
      <c r="E14" s="12" t="s">
        <v>153</v>
      </c>
      <c r="F14" s="12">
        <v>0</v>
      </c>
      <c r="G14" s="12">
        <v>144446</v>
      </c>
      <c r="H14" s="26">
        <v>6</v>
      </c>
      <c r="I14" s="26">
        <v>0</v>
      </c>
      <c r="J14" s="26">
        <v>1</v>
      </c>
      <c r="K14" s="26">
        <v>1</v>
      </c>
      <c r="L14" s="26">
        <v>2</v>
      </c>
      <c r="M14" s="13">
        <v>0.5</v>
      </c>
      <c r="N14" s="13" t="s">
        <v>165</v>
      </c>
      <c r="O14" s="29" t="s">
        <v>165</v>
      </c>
    </row>
    <row r="15" spans="3:15" ht="12.75">
      <c r="C15" s="210">
        <v>9</v>
      </c>
      <c r="D15" s="11" t="s">
        <v>122</v>
      </c>
      <c r="E15" s="12" t="s">
        <v>165</v>
      </c>
      <c r="F15" s="12">
        <v>0</v>
      </c>
      <c r="G15" s="12" t="s">
        <v>165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13">
        <v>0</v>
      </c>
      <c r="N15" s="13" t="s">
        <v>165</v>
      </c>
      <c r="O15" s="29" t="s">
        <v>165</v>
      </c>
    </row>
    <row r="16" spans="3:15" ht="12.75">
      <c r="C16" s="210">
        <v>10</v>
      </c>
      <c r="D16" s="11" t="s">
        <v>122</v>
      </c>
      <c r="E16" s="12" t="s">
        <v>165</v>
      </c>
      <c r="F16" s="12">
        <v>0</v>
      </c>
      <c r="G16" s="12" t="s">
        <v>165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13">
        <v>0</v>
      </c>
      <c r="N16" s="13" t="s">
        <v>165</v>
      </c>
      <c r="O16" s="29" t="s">
        <v>165</v>
      </c>
    </row>
    <row r="17" spans="3:15" ht="12.75">
      <c r="C17" s="210">
        <v>11</v>
      </c>
      <c r="D17" s="11" t="s">
        <v>122</v>
      </c>
      <c r="E17" s="12" t="s">
        <v>165</v>
      </c>
      <c r="F17" s="12">
        <v>0</v>
      </c>
      <c r="G17" s="12" t="s">
        <v>165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13">
        <v>0</v>
      </c>
      <c r="N17" s="13" t="s">
        <v>165</v>
      </c>
      <c r="O17" s="29" t="s">
        <v>165</v>
      </c>
    </row>
    <row r="18" spans="3:15" ht="12.75">
      <c r="C18" s="210">
        <v>12</v>
      </c>
      <c r="D18" s="11" t="s">
        <v>122</v>
      </c>
      <c r="E18" s="12" t="s">
        <v>165</v>
      </c>
      <c r="F18" s="12">
        <v>0</v>
      </c>
      <c r="G18" s="12" t="s">
        <v>165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13">
        <v>0</v>
      </c>
      <c r="N18" s="13" t="s">
        <v>165</v>
      </c>
      <c r="O18" s="29" t="s">
        <v>165</v>
      </c>
    </row>
    <row r="19" spans="3:15" ht="12.75">
      <c r="C19" s="210">
        <v>13</v>
      </c>
      <c r="D19" s="11" t="s">
        <v>122</v>
      </c>
      <c r="E19" s="12" t="s">
        <v>165</v>
      </c>
      <c r="F19" s="12">
        <v>0</v>
      </c>
      <c r="G19" s="12" t="s">
        <v>165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13">
        <v>0</v>
      </c>
      <c r="N19" s="13" t="s">
        <v>165</v>
      </c>
      <c r="O19" s="29" t="s">
        <v>165</v>
      </c>
    </row>
    <row r="20" spans="3:15" ht="12.75">
      <c r="C20" s="210">
        <v>14</v>
      </c>
      <c r="D20" s="11" t="s">
        <v>122</v>
      </c>
      <c r="E20" s="12" t="s">
        <v>165</v>
      </c>
      <c r="F20" s="12">
        <v>0</v>
      </c>
      <c r="G20" s="12" t="s">
        <v>165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13">
        <v>0</v>
      </c>
      <c r="N20" s="13" t="s">
        <v>165</v>
      </c>
      <c r="O20" s="29" t="s">
        <v>165</v>
      </c>
    </row>
    <row r="21" spans="3:15" ht="12.75">
      <c r="C21" s="210">
        <v>15</v>
      </c>
      <c r="D21" s="11" t="s">
        <v>122</v>
      </c>
      <c r="E21" s="12" t="s">
        <v>165</v>
      </c>
      <c r="F21" s="12">
        <v>0</v>
      </c>
      <c r="G21" s="12" t="s">
        <v>165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13">
        <v>0</v>
      </c>
      <c r="N21" s="13" t="s">
        <v>165</v>
      </c>
      <c r="O21" s="29" t="s">
        <v>165</v>
      </c>
    </row>
    <row r="22" spans="3:15" ht="13.5" thickBot="1">
      <c r="C22" s="211">
        <v>16</v>
      </c>
      <c r="D22" s="14" t="s">
        <v>122</v>
      </c>
      <c r="E22" s="15" t="s">
        <v>165</v>
      </c>
      <c r="F22" s="15">
        <v>0</v>
      </c>
      <c r="G22" s="15" t="s">
        <v>165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16">
        <v>0</v>
      </c>
      <c r="N22" s="16" t="s">
        <v>165</v>
      </c>
      <c r="O22" s="30" t="s">
        <v>165</v>
      </c>
    </row>
    <row r="23" spans="3:15" ht="15.75">
      <c r="C23" s="17"/>
      <c r="D23" s="212" t="s">
        <v>60</v>
      </c>
      <c r="E23" s="212">
        <f>IF(Auslosung_Turnierdaten!G30="","",Auslosung_Turnierdaten!G30)</f>
      </c>
      <c r="F23" s="17"/>
      <c r="G23" s="17"/>
      <c r="H23" s="17"/>
      <c r="I23" s="17"/>
      <c r="J23" s="17"/>
      <c r="K23" s="17"/>
      <c r="L23" s="17"/>
      <c r="M23" s="18"/>
      <c r="N23" s="17"/>
      <c r="O23" s="17"/>
    </row>
    <row r="24" spans="4:5" ht="15.75">
      <c r="D24" s="212" t="s">
        <v>58</v>
      </c>
      <c r="E24" s="213">
        <f>IF(Auslosung_Turnierdaten!G28="","",Auslosung_Turnierdaten!G28)</f>
      </c>
    </row>
    <row r="25" spans="4:5" ht="12.75">
      <c r="D25" s="17"/>
      <c r="E25" s="17"/>
    </row>
    <row r="26" spans="4:5" ht="12.75">
      <c r="D26" s="17"/>
      <c r="E26" s="17"/>
    </row>
    <row r="27" spans="4:5" ht="12.75">
      <c r="D27" s="17"/>
      <c r="E27" s="17"/>
    </row>
    <row r="28" spans="4:5" ht="12.75">
      <c r="D28" s="17"/>
      <c r="E28" s="17"/>
    </row>
    <row r="29" spans="2:5" ht="12.75">
      <c r="B29" s="2">
        <f>IF(Auslosung_Turnierdaten!F32="","",23)</f>
      </c>
      <c r="D29" s="17"/>
      <c r="E29" s="17"/>
    </row>
    <row r="30" spans="2:5" ht="12.75">
      <c r="B30" s="2">
        <f>IF(Auslosung_Turnierdaten!F33="","",24)</f>
      </c>
      <c r="D30" s="17"/>
      <c r="E30" s="17"/>
    </row>
    <row r="31" spans="2:5" ht="12.75">
      <c r="B31" s="2">
        <f>IF(Auslosung_Turnierdaten!F34="","",25)</f>
      </c>
      <c r="D31" s="17"/>
      <c r="E31" s="17"/>
    </row>
    <row r="32" spans="2:5" ht="12.75">
      <c r="B32" s="2">
        <f>IF(Auslosung_Turnierdaten!F35="","",26)</f>
      </c>
      <c r="D32" s="17"/>
      <c r="E32" s="17"/>
    </row>
    <row r="33" ht="12.75">
      <c r="B33" s="2">
        <f>IF(Auslosung_Turnierdaten!F36="","",27)</f>
      </c>
    </row>
    <row r="34" ht="12.75">
      <c r="B34" s="2">
        <f>IF(Auslosung_Turnierdaten!F37="","",28)</f>
      </c>
    </row>
    <row r="35" ht="12.75">
      <c r="B35" s="2">
        <f>IF(Auslosung_Turnierdaten!F38="","",29)</f>
      </c>
    </row>
    <row r="36" ht="12.75">
      <c r="B36" s="2">
        <f>IF(Auslosung_Turnierdaten!F39="","",30)</f>
      </c>
    </row>
    <row r="37" ht="12.75">
      <c r="B37" s="2">
        <f>IF(Auslosung_Turnierdaten!F40="","",31)</f>
      </c>
    </row>
    <row r="38" ht="12.75">
      <c r="B38" s="2">
        <f>IF(Auslosung_Turnierdaten!F41="","",32)</f>
      </c>
    </row>
    <row r="39" ht="12.75">
      <c r="B39" s="2">
        <f>IF(Auslosung_Turnierdaten!F42="","",33)</f>
      </c>
    </row>
    <row r="40" ht="12.75">
      <c r="B40" s="2">
        <f>IF(Auslosung_Turnierdaten!F43="","",34)</f>
      </c>
    </row>
    <row r="41" ht="12.75">
      <c r="B41" s="2">
        <f>IF(Auslosung_Turnierdaten!F44="","",35)</f>
      </c>
    </row>
    <row r="42" ht="12.75">
      <c r="B42" s="2">
        <f>IF(Auslosung_Turnierdaten!F45="","",36)</f>
      </c>
    </row>
    <row r="43" ht="12.75">
      <c r="B43" s="2">
        <f>IF(Auslosung_Turnierdaten!F46="","",37)</f>
      </c>
    </row>
    <row r="44" ht="12.75">
      <c r="B44" s="2">
        <f>IF(Auslosung_Turnierdaten!F47="","",38)</f>
      </c>
    </row>
    <row r="45" ht="12.75">
      <c r="B45" s="2">
        <f>IF(Auslosung_Turnierdaten!F48="","",39)</f>
      </c>
    </row>
    <row r="46" ht="12.75">
      <c r="B46" s="2">
        <f>IF(Auslosung_Turnierdaten!F49="","",40)</f>
      </c>
    </row>
    <row r="47" ht="12.75">
      <c r="B47" s="2">
        <f>IF(Auslosung_Turnierdaten!F50="","",41)</f>
      </c>
    </row>
    <row r="48" ht="12.75">
      <c r="B48" s="2">
        <f>IF(Auslosung_Turnierdaten!F51="","",42)</f>
      </c>
    </row>
    <row r="49" ht="12.75">
      <c r="B49" s="2">
        <f>IF(Auslosung_Turnierdaten!F52="","",43)</f>
      </c>
    </row>
    <row r="50" ht="12.75">
      <c r="B50" s="2">
        <f>IF(Auslosung_Turnierdaten!F53="","",44)</f>
      </c>
    </row>
    <row r="51" ht="12.75">
      <c r="B51" s="2">
        <f>IF(Auslosung_Turnierdaten!F54="","",45)</f>
      </c>
    </row>
    <row r="52" ht="12.75">
      <c r="B52" s="2">
        <f>IF(Auslosung_Turnierdaten!F55="","",46)</f>
      </c>
    </row>
    <row r="53" ht="12.75">
      <c r="B53" s="2">
        <f>IF(Auslosung_Turnierdaten!F56="","",47)</f>
      </c>
    </row>
    <row r="54" ht="12.75">
      <c r="B54" s="2">
        <f>IF(Auslosung_Turnierdaten!F57="","",48)</f>
      </c>
    </row>
    <row r="55" ht="12.75">
      <c r="B55" s="2">
        <f>IF(Auslosung_Turnierdaten!F58="","",49)</f>
      </c>
    </row>
    <row r="56" ht="12.75">
      <c r="B56" s="2">
        <f>IF(Auslosung_Turnierdaten!F59="","",50)</f>
      </c>
    </row>
    <row r="57" ht="12.75">
      <c r="B57" s="2">
        <f>IF(Auslosung_Turnierdaten!F60="","",51)</f>
      </c>
    </row>
    <row r="58" ht="12.75">
      <c r="B58" s="2">
        <f>IF(Auslosung_Turnierdaten!F61="","",52)</f>
      </c>
    </row>
    <row r="59" ht="12.75">
      <c r="B59" s="2">
        <f>IF(Auslosung_Turnierdaten!F62="","",53)</f>
      </c>
    </row>
    <row r="60" ht="12.75">
      <c r="B60" s="2">
        <f>IF(Auslosung_Turnierdaten!F63="","",54)</f>
      </c>
    </row>
    <row r="61" ht="12.75">
      <c r="B61" s="2">
        <f>IF(Auslosung_Turnierdaten!F64="","",55)</f>
      </c>
    </row>
    <row r="62" ht="12.75">
      <c r="B62" s="2">
        <f>IF(Auslosung_Turnierdaten!F65="","",56)</f>
      </c>
    </row>
    <row r="63" ht="12.75">
      <c r="B63" s="2">
        <f>IF(Auslosung_Turnierdaten!F66="","",57)</f>
      </c>
    </row>
    <row r="64" ht="12.75">
      <c r="B64" s="2">
        <f>IF(Auslosung_Turnierdaten!F67="","",58)</f>
      </c>
    </row>
    <row r="65" ht="12.75">
      <c r="B65" s="2">
        <f>IF(Auslosung_Turnierdaten!F68="","",59)</f>
      </c>
    </row>
    <row r="66" ht="12.75">
      <c r="B66" s="2">
        <f>IF(Auslosung_Turnierdaten!F69="","",60)</f>
      </c>
    </row>
    <row r="67" ht="12.75">
      <c r="B67" s="2">
        <f>IF(Auslosung_Turnierdaten!F70="","",61)</f>
      </c>
    </row>
    <row r="68" ht="12.75">
      <c r="B68" s="2">
        <f>IF(Auslosung_Turnierdaten!F71="","",62)</f>
      </c>
    </row>
    <row r="69" ht="12.75">
      <c r="B69" s="2">
        <f>IF(Auslosung_Turnierdaten!F72="","",63)</f>
      </c>
    </row>
    <row r="70" ht="12.75">
      <c r="B70" s="2">
        <f>IF(Auslosung_Turnierdaten!F73="","",64)</f>
      </c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M31"/>
  <sheetViews>
    <sheetView zoomScalePageLayoutView="0" workbookViewId="0" topLeftCell="A1">
      <selection activeCell="M14" sqref="M14"/>
    </sheetView>
  </sheetViews>
  <sheetFormatPr defaultColWidth="11.421875" defaultRowHeight="12.75"/>
  <cols>
    <col min="1" max="1" width="6.00390625" style="0" bestFit="1" customWidth="1"/>
    <col min="2" max="2" width="3.00390625" style="0" bestFit="1" customWidth="1"/>
    <col min="3" max="3" width="7.00390625" style="0" bestFit="1" customWidth="1"/>
    <col min="4" max="4" width="9.421875" style="0" customWidth="1"/>
    <col min="5" max="10" width="3.00390625" style="0" bestFit="1" customWidth="1"/>
    <col min="11" max="11" width="4.57421875" style="0" customWidth="1"/>
  </cols>
  <sheetData>
    <row r="1" spans="1:13" ht="12.75">
      <c r="A1" t="str">
        <f>SP16!B3</f>
        <v>HR</v>
      </c>
      <c r="B1">
        <f>SP16!C3</f>
        <v>1</v>
      </c>
      <c r="C1" t="e">
        <f>IF((SP16!D3)="Freilos",0,VLOOKUP(SP16!D3,Spielereingabe!$G$6:$J$21,4,FALSE))</f>
        <v>#N/A</v>
      </c>
      <c r="D1" t="e">
        <f>IF((SP16!E3)="Freilos",0,VLOOKUP(SP16!E3,Spielereingabe!$G$6:$J$21,4,FALSE))</f>
        <v>#N/A</v>
      </c>
      <c r="E1">
        <f>SP16!F3</f>
        <v>0</v>
      </c>
      <c r="F1">
        <f>SP16!G3</f>
        <v>0</v>
      </c>
      <c r="G1">
        <f>SP16!H3</f>
        <v>0</v>
      </c>
      <c r="H1">
        <f>SP16!I3</f>
        <v>0</v>
      </c>
      <c r="I1">
        <f>SP16!J3</f>
        <v>0</v>
      </c>
      <c r="J1">
        <f>SP16!K3</f>
        <v>0</v>
      </c>
      <c r="K1">
        <f>SP16!L3</f>
        <v>0</v>
      </c>
      <c r="L1" s="214">
        <f>SP16!AQ3</f>
        <v>0</v>
      </c>
      <c r="M1" s="214">
        <f>SP16!AR3</f>
        <v>0</v>
      </c>
    </row>
    <row r="2" spans="1:13" ht="12.75">
      <c r="A2" t="s">
        <v>40</v>
      </c>
      <c r="B2">
        <f>SP16!C4</f>
        <v>2</v>
      </c>
      <c r="C2" t="e">
        <f>IF((SP16!D4)="Freilos",0,VLOOKUP(SP16!D4,Spielereingabe!$G$6:$J$21,4,FALSE))</f>
        <v>#N/A</v>
      </c>
      <c r="D2" t="e">
        <f>IF((SP16!E4)="Freilos",0,VLOOKUP(SP16!E4,Spielereingabe!$G$6:$J$21,4,FALSE))</f>
        <v>#N/A</v>
      </c>
      <c r="E2">
        <f>SP16!F4</f>
        <v>0</v>
      </c>
      <c r="F2">
        <f>SP16!G4</f>
        <v>0</v>
      </c>
      <c r="G2">
        <f>SP16!H4</f>
        <v>0</v>
      </c>
      <c r="H2">
        <f>SP16!I4</f>
        <v>0</v>
      </c>
      <c r="I2">
        <f>SP16!J4</f>
        <v>0</v>
      </c>
      <c r="J2">
        <f>SP16!K4</f>
        <v>0</v>
      </c>
      <c r="K2">
        <f>SP16!L4</f>
        <v>0</v>
      </c>
      <c r="L2" s="214">
        <f>SP16!AQ4</f>
        <v>0</v>
      </c>
      <c r="M2" s="214">
        <f>SP16!AR4</f>
        <v>0</v>
      </c>
    </row>
    <row r="3" spans="1:13" ht="12.75">
      <c r="A3" t="s">
        <v>40</v>
      </c>
      <c r="B3">
        <f>SP16!C5</f>
        <v>3</v>
      </c>
      <c r="C3" t="e">
        <f>IF((SP16!D5)="Freilos",0,VLOOKUP(SP16!D5,Spielereingabe!$G$6:$J$21,4,FALSE))</f>
        <v>#N/A</v>
      </c>
      <c r="D3" t="e">
        <f>IF((SP16!E5)="Freilos",0,VLOOKUP(SP16!E5,Spielereingabe!$G$6:$J$21,4,FALSE))</f>
        <v>#N/A</v>
      </c>
      <c r="E3">
        <f>SP16!F5</f>
        <v>0</v>
      </c>
      <c r="F3">
        <f>SP16!G5</f>
        <v>0</v>
      </c>
      <c r="G3">
        <f>SP16!H5</f>
        <v>0</v>
      </c>
      <c r="H3">
        <f>SP16!I5</f>
        <v>0</v>
      </c>
      <c r="I3">
        <f>SP16!J5</f>
        <v>0</v>
      </c>
      <c r="J3">
        <f>SP16!K5</f>
        <v>0</v>
      </c>
      <c r="K3">
        <f>SP16!L5</f>
        <v>0</v>
      </c>
      <c r="L3" s="214">
        <f>SP16!AQ5</f>
        <v>0</v>
      </c>
      <c r="M3" s="214">
        <f>SP16!AR5</f>
        <v>0</v>
      </c>
    </row>
    <row r="4" spans="1:13" ht="12.75">
      <c r="A4" t="s">
        <v>40</v>
      </c>
      <c r="B4">
        <f>SP16!C6</f>
        <v>4</v>
      </c>
      <c r="C4" t="e">
        <f>IF((SP16!D6)="Freilos",0,VLOOKUP(SP16!D6,Spielereingabe!$G$6:$J$21,4,FALSE))</f>
        <v>#N/A</v>
      </c>
      <c r="D4" t="e">
        <f>IF((SP16!E6)="Freilos",0,VLOOKUP(SP16!E6,Spielereingabe!$G$6:$J$21,4,FALSE))</f>
        <v>#N/A</v>
      </c>
      <c r="E4">
        <f>SP16!F6</f>
        <v>0</v>
      </c>
      <c r="F4">
        <f>SP16!G6</f>
        <v>0</v>
      </c>
      <c r="G4">
        <f>SP16!H6</f>
        <v>0</v>
      </c>
      <c r="H4">
        <f>SP16!I6</f>
        <v>0</v>
      </c>
      <c r="I4">
        <f>SP16!J6</f>
        <v>0</v>
      </c>
      <c r="J4">
        <f>SP16!K6</f>
        <v>0</v>
      </c>
      <c r="K4">
        <f>SP16!L6</f>
        <v>0</v>
      </c>
      <c r="L4" s="214">
        <f>SP16!AQ6</f>
        <v>0</v>
      </c>
      <c r="M4" s="214">
        <f>SP16!AR6</f>
        <v>0</v>
      </c>
    </row>
    <row r="5" spans="1:13" ht="12.75">
      <c r="A5" t="s">
        <v>40</v>
      </c>
      <c r="B5">
        <f>SP16!C7</f>
        <v>5</v>
      </c>
      <c r="C5" t="e">
        <f>IF((SP16!D7)="Freilos",0,VLOOKUP(SP16!D7,Spielereingabe!$G$6:$J$21,4,FALSE))</f>
        <v>#N/A</v>
      </c>
      <c r="D5" t="e">
        <f>IF((SP16!E7)="Freilos",0,VLOOKUP(SP16!E7,Spielereingabe!$G$6:$J$21,4,FALSE))</f>
        <v>#N/A</v>
      </c>
      <c r="E5">
        <f>SP16!F7</f>
        <v>0</v>
      </c>
      <c r="F5">
        <f>SP16!G7</f>
        <v>0</v>
      </c>
      <c r="G5">
        <f>SP16!H7</f>
        <v>0</v>
      </c>
      <c r="H5">
        <f>SP16!I7</f>
        <v>0</v>
      </c>
      <c r="I5">
        <f>SP16!J7</f>
        <v>0</v>
      </c>
      <c r="J5">
        <f>SP16!K7</f>
        <v>0</v>
      </c>
      <c r="K5">
        <f>SP16!L7</f>
        <v>0</v>
      </c>
      <c r="L5" s="214">
        <f>SP16!AQ7</f>
        <v>0</v>
      </c>
      <c r="M5" s="214">
        <f>SP16!AR7</f>
        <v>0</v>
      </c>
    </row>
    <row r="6" spans="1:13" ht="12.75">
      <c r="A6" t="s">
        <v>40</v>
      </c>
      <c r="B6">
        <f>SP16!C8</f>
        <v>6</v>
      </c>
      <c r="C6" t="e">
        <f>IF((SP16!D8)="Freilos",0,VLOOKUP(SP16!D8,Spielereingabe!$G$6:$J$21,4,FALSE))</f>
        <v>#N/A</v>
      </c>
      <c r="D6" t="e">
        <f>IF((SP16!E8)="Freilos",0,VLOOKUP(SP16!E8,Spielereingabe!$G$6:$J$21,4,FALSE))</f>
        <v>#N/A</v>
      </c>
      <c r="E6">
        <f>SP16!F8</f>
        <v>0</v>
      </c>
      <c r="F6">
        <f>SP16!G8</f>
        <v>0</v>
      </c>
      <c r="G6">
        <f>SP16!H8</f>
        <v>0</v>
      </c>
      <c r="H6">
        <f>SP16!I8</f>
        <v>0</v>
      </c>
      <c r="I6">
        <f>SP16!J8</f>
        <v>0</v>
      </c>
      <c r="J6">
        <f>SP16!K8</f>
        <v>0</v>
      </c>
      <c r="K6">
        <f>SP16!L8</f>
        <v>0</v>
      </c>
      <c r="L6" s="214">
        <f>SP16!AQ8</f>
        <v>0</v>
      </c>
      <c r="M6" s="214">
        <f>SP16!AR8</f>
        <v>0</v>
      </c>
    </row>
    <row r="7" spans="1:13" ht="12.75">
      <c r="A7" t="s">
        <v>40</v>
      </c>
      <c r="B7">
        <f>SP16!C9</f>
        <v>7</v>
      </c>
      <c r="C7" t="e">
        <f>IF((SP16!D9)="Freilos",0,VLOOKUP(SP16!D9,Spielereingabe!$G$6:$J$21,4,FALSE))</f>
        <v>#N/A</v>
      </c>
      <c r="D7" t="e">
        <f>IF((SP16!E9)="Freilos",0,VLOOKUP(SP16!E9,Spielereingabe!$G$6:$J$21,4,FALSE))</f>
        <v>#N/A</v>
      </c>
      <c r="E7">
        <f>SP16!F9</f>
        <v>0</v>
      </c>
      <c r="F7">
        <f>SP16!G9</f>
        <v>0</v>
      </c>
      <c r="G7">
        <f>SP16!H9</f>
        <v>0</v>
      </c>
      <c r="H7">
        <f>SP16!I9</f>
        <v>0</v>
      </c>
      <c r="I7">
        <f>SP16!J9</f>
        <v>0</v>
      </c>
      <c r="J7">
        <f>SP16!K9</f>
        <v>0</v>
      </c>
      <c r="K7">
        <f>SP16!L9</f>
        <v>0</v>
      </c>
      <c r="L7" s="214">
        <f>SP16!AQ9</f>
        <v>0</v>
      </c>
      <c r="M7" s="214">
        <f>SP16!AR9</f>
        <v>0</v>
      </c>
    </row>
    <row r="8" spans="1:13" ht="12.75">
      <c r="A8" t="s">
        <v>40</v>
      </c>
      <c r="B8">
        <f>SP16!C10</f>
        <v>8</v>
      </c>
      <c r="C8" t="e">
        <f>IF((SP16!D10)="Freilos",0,VLOOKUP(SP16!D10,Spielereingabe!$G$6:$J$21,4,FALSE))</f>
        <v>#N/A</v>
      </c>
      <c r="D8" t="e">
        <f>IF((SP16!E10)="Freilos",0,VLOOKUP(SP16!E10,Spielereingabe!$G$6:$J$21,4,FALSE))</f>
        <v>#N/A</v>
      </c>
      <c r="E8">
        <f>SP16!F10</f>
        <v>0</v>
      </c>
      <c r="F8">
        <f>SP16!G10</f>
        <v>0</v>
      </c>
      <c r="G8">
        <f>SP16!H10</f>
        <v>0</v>
      </c>
      <c r="H8">
        <f>SP16!I10</f>
        <v>0</v>
      </c>
      <c r="I8">
        <f>SP16!J10</f>
        <v>0</v>
      </c>
      <c r="J8">
        <f>SP16!K10</f>
        <v>0</v>
      </c>
      <c r="K8">
        <f>SP16!L10</f>
        <v>0</v>
      </c>
      <c r="L8" s="214">
        <f>SP16!AQ10</f>
        <v>0</v>
      </c>
      <c r="M8" s="214">
        <f>SP16!AR10</f>
        <v>0</v>
      </c>
    </row>
    <row r="9" spans="1:13" ht="12.75">
      <c r="A9" t="str">
        <f>SP16!B11</f>
        <v>VR1</v>
      </c>
      <c r="B9">
        <f>SP16!C11</f>
        <v>9</v>
      </c>
      <c r="C9" t="e">
        <f>IF((SP16!D11)="Freilos",0,VLOOKUP(SP16!D11,Spielereingabe!$G$6:$J$21,4,FALSE))</f>
        <v>#N/A</v>
      </c>
      <c r="D9" t="e">
        <f>IF((SP16!E11)="Freilos",0,VLOOKUP(SP16!E11,Spielereingabe!$G$6:$J$21,4,FALSE))</f>
        <v>#N/A</v>
      </c>
      <c r="E9">
        <f>SP16!F11</f>
        <v>0</v>
      </c>
      <c r="F9">
        <f>SP16!G11</f>
        <v>0</v>
      </c>
      <c r="G9">
        <f>SP16!H11</f>
        <v>0</v>
      </c>
      <c r="H9">
        <f>SP16!I11</f>
        <v>0</v>
      </c>
      <c r="I9">
        <f>SP16!J11</f>
        <v>0</v>
      </c>
      <c r="J9">
        <f>SP16!K11</f>
        <v>0</v>
      </c>
      <c r="K9">
        <f>SP16!L11</f>
        <v>0</v>
      </c>
      <c r="L9" s="214">
        <f>SP16!AQ11</f>
        <v>0</v>
      </c>
      <c r="M9" s="214">
        <f>SP16!AR11</f>
        <v>0</v>
      </c>
    </row>
    <row r="10" spans="1:13" ht="12.75">
      <c r="A10" t="s">
        <v>41</v>
      </c>
      <c r="B10">
        <f>SP16!C12</f>
        <v>10</v>
      </c>
      <c r="C10" t="e">
        <f>IF((SP16!D12)="Freilos",0,VLOOKUP(SP16!D12,Spielereingabe!$G$6:$J$21,4,FALSE))</f>
        <v>#N/A</v>
      </c>
      <c r="D10" t="e">
        <f>IF((SP16!E12)="Freilos",0,VLOOKUP(SP16!E12,Spielereingabe!$G$6:$J$21,4,FALSE))</f>
        <v>#N/A</v>
      </c>
      <c r="E10">
        <f>SP16!F12</f>
        <v>0</v>
      </c>
      <c r="F10">
        <f>SP16!G12</f>
        <v>0</v>
      </c>
      <c r="G10">
        <f>SP16!H12</f>
        <v>0</v>
      </c>
      <c r="H10">
        <f>SP16!I12</f>
        <v>0</v>
      </c>
      <c r="I10">
        <f>SP16!J12</f>
        <v>0</v>
      </c>
      <c r="J10">
        <f>SP16!K12</f>
        <v>0</v>
      </c>
      <c r="K10">
        <f>SP16!L12</f>
        <v>0</v>
      </c>
      <c r="L10" s="214">
        <f>SP16!AQ12</f>
        <v>0</v>
      </c>
      <c r="M10" s="214">
        <f>SP16!AR12</f>
        <v>0</v>
      </c>
    </row>
    <row r="11" spans="1:13" ht="12.75">
      <c r="A11" t="s">
        <v>41</v>
      </c>
      <c r="B11">
        <f>SP16!C13</f>
        <v>11</v>
      </c>
      <c r="C11" t="e">
        <f>IF((SP16!D13)="Freilos",0,VLOOKUP(SP16!D13,Spielereingabe!$G$6:$J$21,4,FALSE))</f>
        <v>#N/A</v>
      </c>
      <c r="D11" t="e">
        <f>IF((SP16!E13)="Freilos",0,VLOOKUP(SP16!E13,Spielereingabe!$G$6:$J$21,4,FALSE))</f>
        <v>#N/A</v>
      </c>
      <c r="E11">
        <f>SP16!F13</f>
        <v>0</v>
      </c>
      <c r="F11">
        <f>SP16!G13</f>
        <v>0</v>
      </c>
      <c r="G11">
        <f>SP16!H13</f>
        <v>0</v>
      </c>
      <c r="H11">
        <f>SP16!I13</f>
        <v>0</v>
      </c>
      <c r="I11">
        <f>SP16!J13</f>
        <v>0</v>
      </c>
      <c r="J11">
        <f>SP16!K13</f>
        <v>0</v>
      </c>
      <c r="K11">
        <f>SP16!L13</f>
        <v>0</v>
      </c>
      <c r="L11" s="214">
        <f>SP16!AQ13</f>
        <v>0</v>
      </c>
      <c r="M11" s="214">
        <f>SP16!AR13</f>
        <v>0</v>
      </c>
    </row>
    <row r="12" spans="1:13" ht="12.75">
      <c r="A12" t="s">
        <v>41</v>
      </c>
      <c r="B12">
        <f>SP16!C14</f>
        <v>12</v>
      </c>
      <c r="C12" t="e">
        <f>IF((SP16!D14)="Freilos",0,VLOOKUP(SP16!D14,Spielereingabe!$G$6:$J$21,4,FALSE))</f>
        <v>#N/A</v>
      </c>
      <c r="D12" t="e">
        <f>IF((SP16!E14)="Freilos",0,VLOOKUP(SP16!E14,Spielereingabe!$G$6:$J$21,4,FALSE))</f>
        <v>#N/A</v>
      </c>
      <c r="E12">
        <f>SP16!F14</f>
        <v>0</v>
      </c>
      <c r="F12">
        <f>SP16!G14</f>
        <v>0</v>
      </c>
      <c r="G12">
        <f>SP16!H14</f>
        <v>0</v>
      </c>
      <c r="H12">
        <f>SP16!I14</f>
        <v>0</v>
      </c>
      <c r="I12">
        <f>SP16!J14</f>
        <v>0</v>
      </c>
      <c r="J12">
        <f>SP16!K14</f>
        <v>0</v>
      </c>
      <c r="K12">
        <f>SP16!L14</f>
        <v>0</v>
      </c>
      <c r="L12" s="214">
        <f>SP16!AQ14</f>
        <v>0</v>
      </c>
      <c r="M12" s="214">
        <f>SP16!AR14</f>
        <v>0</v>
      </c>
    </row>
    <row r="13" spans="1:13" ht="12.75">
      <c r="A13" t="s">
        <v>42</v>
      </c>
      <c r="B13">
        <f>SP16!C15</f>
        <v>13</v>
      </c>
      <c r="C13" t="e">
        <f>IF((SP16!D15)="Freilos",0,VLOOKUP(SP16!D15,Spielereingabe!$G$6:$J$21,4,FALSE))</f>
        <v>#N/A</v>
      </c>
      <c r="D13" t="e">
        <f>IF((SP16!E15)="Freilos",0,VLOOKUP(SP16!E15,Spielereingabe!$G$6:$J$21,4,FALSE))</f>
        <v>#N/A</v>
      </c>
      <c r="E13">
        <f>SP16!F15</f>
        <v>0</v>
      </c>
      <c r="F13">
        <f>SP16!G15</f>
        <v>0</v>
      </c>
      <c r="G13">
        <f>SP16!H15</f>
        <v>0</v>
      </c>
      <c r="H13">
        <f>SP16!I15</f>
        <v>0</v>
      </c>
      <c r="I13">
        <f>SP16!J15</f>
        <v>0</v>
      </c>
      <c r="J13">
        <f>SP16!K15</f>
        <v>0</v>
      </c>
      <c r="K13">
        <f>SP16!L15</f>
        <v>0</v>
      </c>
      <c r="L13" s="214">
        <f>SP16!AQ15</f>
        <v>0</v>
      </c>
      <c r="M13" s="214">
        <f>SP16!AR15</f>
        <v>0</v>
      </c>
    </row>
    <row r="14" spans="1:13" ht="12.75">
      <c r="A14" t="s">
        <v>42</v>
      </c>
      <c r="B14">
        <f>SP16!C16</f>
        <v>14</v>
      </c>
      <c r="C14" t="e">
        <f>IF((SP16!D16)="Freilos",0,VLOOKUP(SP16!D16,Spielereingabe!$G$6:$J$21,4,FALSE))</f>
        <v>#N/A</v>
      </c>
      <c r="D14" t="e">
        <f>IF((SP16!E16)="Freilos",0,VLOOKUP(SP16!E16,Spielereingabe!$G$6:$J$21,4,FALSE))</f>
        <v>#N/A</v>
      </c>
      <c r="E14">
        <f>SP16!F16</f>
        <v>0</v>
      </c>
      <c r="F14">
        <f>SP16!G16</f>
        <v>0</v>
      </c>
      <c r="G14">
        <f>SP16!H16</f>
        <v>0</v>
      </c>
      <c r="H14">
        <f>SP16!I16</f>
        <v>0</v>
      </c>
      <c r="I14">
        <f>SP16!J16</f>
        <v>0</v>
      </c>
      <c r="J14">
        <f>SP16!K16</f>
        <v>0</v>
      </c>
      <c r="K14">
        <f>SP16!L16</f>
        <v>0</v>
      </c>
      <c r="L14" s="214">
        <f>SP16!AQ16</f>
        <v>0</v>
      </c>
      <c r="M14" s="214">
        <f>SP16!AR16</f>
        <v>0</v>
      </c>
    </row>
    <row r="15" spans="1:13" ht="12.75">
      <c r="A15" t="s">
        <v>42</v>
      </c>
      <c r="B15">
        <f>SP16!C17</f>
        <v>15</v>
      </c>
      <c r="C15" t="e">
        <f>IF((SP16!D17)="Freilos",0,VLOOKUP(SP16!D17,Spielereingabe!$G$6:$J$21,4,FALSE))</f>
        <v>#N/A</v>
      </c>
      <c r="D15" t="e">
        <f>IF((SP16!E17)="Freilos",0,VLOOKUP(SP16!E17,Spielereingabe!$G$6:$J$21,4,FALSE))</f>
        <v>#N/A</v>
      </c>
      <c r="E15">
        <f>SP16!F17</f>
        <v>0</v>
      </c>
      <c r="F15">
        <f>SP16!G17</f>
        <v>0</v>
      </c>
      <c r="G15">
        <f>SP16!H17</f>
        <v>0</v>
      </c>
      <c r="H15">
        <f>SP16!I17</f>
        <v>0</v>
      </c>
      <c r="I15">
        <f>SP16!J17</f>
        <v>0</v>
      </c>
      <c r="J15">
        <f>SP16!K17</f>
        <v>0</v>
      </c>
      <c r="K15">
        <f>SP16!L17</f>
        <v>0</v>
      </c>
      <c r="L15" s="214">
        <f>SP16!AQ17</f>
        <v>0</v>
      </c>
      <c r="M15" s="214">
        <f>SP16!AR17</f>
        <v>0</v>
      </c>
    </row>
    <row r="16" spans="1:13" ht="12.75">
      <c r="A16" t="s">
        <v>42</v>
      </c>
      <c r="B16">
        <f>SP16!C18</f>
        <v>16</v>
      </c>
      <c r="C16" t="e">
        <f>IF((SP16!D18)="Freilos",0,VLOOKUP(SP16!D18,Spielereingabe!$G$6:$J$21,4,FALSE))</f>
        <v>#N/A</v>
      </c>
      <c r="D16" t="e">
        <f>IF((SP16!E18)="Freilos",0,VLOOKUP(SP16!E18,Spielereingabe!$G$6:$J$21,4,FALSE))</f>
        <v>#N/A</v>
      </c>
      <c r="E16">
        <f>SP16!F18</f>
        <v>0</v>
      </c>
      <c r="F16">
        <f>SP16!G18</f>
        <v>0</v>
      </c>
      <c r="G16">
        <f>SP16!H18</f>
        <v>0</v>
      </c>
      <c r="H16">
        <f>SP16!I18</f>
        <v>0</v>
      </c>
      <c r="I16">
        <f>SP16!J18</f>
        <v>0</v>
      </c>
      <c r="J16">
        <f>SP16!K18</f>
        <v>0</v>
      </c>
      <c r="K16">
        <f>SP16!L18</f>
        <v>0</v>
      </c>
      <c r="L16" s="214">
        <f>SP16!AQ18</f>
        <v>0</v>
      </c>
      <c r="M16" s="214">
        <f>SP16!AR18</f>
        <v>0</v>
      </c>
    </row>
    <row r="17" spans="1:13" ht="12.75">
      <c r="A17" t="str">
        <f>SP16!B19</f>
        <v>VR2</v>
      </c>
      <c r="B17">
        <f>SP16!C19</f>
        <v>17</v>
      </c>
      <c r="C17" t="e">
        <f>IF((SP16!D19)="Freilos",0,VLOOKUP(SP16!D19,Spielereingabe!$G$6:$J$21,4,FALSE))</f>
        <v>#N/A</v>
      </c>
      <c r="D17" t="e">
        <f>IF((SP16!E19)="Freilos",0,VLOOKUP(SP16!E19,Spielereingabe!$G$6:$J$21,4,FALSE))</f>
        <v>#N/A</v>
      </c>
      <c r="E17">
        <f>SP16!F19</f>
        <v>0</v>
      </c>
      <c r="F17">
        <f>SP16!G19</f>
        <v>0</v>
      </c>
      <c r="G17">
        <f>SP16!H19</f>
        <v>0</v>
      </c>
      <c r="H17">
        <f>SP16!I19</f>
        <v>0</v>
      </c>
      <c r="I17">
        <f>SP16!J19</f>
        <v>0</v>
      </c>
      <c r="J17">
        <f>SP16!K19</f>
        <v>0</v>
      </c>
      <c r="K17">
        <f>SP16!L19</f>
        <v>0</v>
      </c>
      <c r="L17" s="214">
        <f>SP16!AQ19</f>
        <v>0</v>
      </c>
      <c r="M17" s="214">
        <f>SP16!AR19</f>
        <v>0</v>
      </c>
    </row>
    <row r="18" spans="1:13" ht="12.75">
      <c r="A18" t="s">
        <v>43</v>
      </c>
      <c r="B18">
        <f>SP16!C20</f>
        <v>18</v>
      </c>
      <c r="C18" t="e">
        <f>IF((SP16!D20)="Freilos",0,VLOOKUP(SP16!D20,Spielereingabe!$G$6:$J$21,4,FALSE))</f>
        <v>#N/A</v>
      </c>
      <c r="D18" t="e">
        <f>IF((SP16!E20)="Freilos",0,VLOOKUP(SP16!E20,Spielereingabe!$G$6:$J$21,4,FALSE))</f>
        <v>#N/A</v>
      </c>
      <c r="E18">
        <f>SP16!F20</f>
        <v>0</v>
      </c>
      <c r="F18">
        <f>SP16!G20</f>
        <v>0</v>
      </c>
      <c r="G18">
        <f>SP16!H20</f>
        <v>0</v>
      </c>
      <c r="H18">
        <f>SP16!I20</f>
        <v>0</v>
      </c>
      <c r="I18">
        <f>SP16!J20</f>
        <v>0</v>
      </c>
      <c r="J18">
        <f>SP16!K20</f>
        <v>0</v>
      </c>
      <c r="K18">
        <f>SP16!L20</f>
        <v>0</v>
      </c>
      <c r="L18" s="214">
        <f>SP16!AQ20</f>
        <v>0</v>
      </c>
      <c r="M18" s="214">
        <f>SP16!AR20</f>
        <v>0</v>
      </c>
    </row>
    <row r="19" spans="1:13" ht="12.75">
      <c r="A19" t="s">
        <v>43</v>
      </c>
      <c r="B19">
        <f>SP16!C21</f>
        <v>19</v>
      </c>
      <c r="C19" t="e">
        <f>IF((SP16!D21)="Freilos",0,VLOOKUP(SP16!D21,Spielereingabe!$G$6:$J$21,4,FALSE))</f>
        <v>#N/A</v>
      </c>
      <c r="D19" t="e">
        <f>IF((SP16!E21)="Freilos",0,VLOOKUP(SP16!E21,Spielereingabe!$G$6:$J$21,4,FALSE))</f>
        <v>#N/A</v>
      </c>
      <c r="E19">
        <f>SP16!F21</f>
        <v>0</v>
      </c>
      <c r="F19">
        <f>SP16!G21</f>
        <v>0</v>
      </c>
      <c r="G19">
        <f>SP16!H21</f>
        <v>0</v>
      </c>
      <c r="H19">
        <f>SP16!I21</f>
        <v>0</v>
      </c>
      <c r="I19">
        <f>SP16!J21</f>
        <v>0</v>
      </c>
      <c r="J19">
        <f>SP16!K21</f>
        <v>0</v>
      </c>
      <c r="K19">
        <f>SP16!L21</f>
        <v>0</v>
      </c>
      <c r="L19" s="214">
        <f>SP16!AQ21</f>
        <v>0</v>
      </c>
      <c r="M19" s="214">
        <f>SP16!AR21</f>
        <v>0</v>
      </c>
    </row>
    <row r="20" spans="1:13" ht="12.75">
      <c r="A20" t="s">
        <v>43</v>
      </c>
      <c r="B20">
        <f>SP16!C22</f>
        <v>20</v>
      </c>
      <c r="C20" t="e">
        <f>IF((SP16!D22)="Freilos",0,VLOOKUP(SP16!D22,Spielereingabe!$G$6:$J$21,4,FALSE))</f>
        <v>#N/A</v>
      </c>
      <c r="D20" t="e">
        <f>IF((SP16!E22)="Freilos",0,VLOOKUP(SP16!E22,Spielereingabe!$G$6:$J$21,4,FALSE))</f>
        <v>#N/A</v>
      </c>
      <c r="E20">
        <f>SP16!F22</f>
        <v>0</v>
      </c>
      <c r="F20">
        <f>SP16!G22</f>
        <v>0</v>
      </c>
      <c r="G20">
        <f>SP16!H22</f>
        <v>0</v>
      </c>
      <c r="H20">
        <f>SP16!I22</f>
        <v>0</v>
      </c>
      <c r="I20">
        <f>SP16!J22</f>
        <v>0</v>
      </c>
      <c r="J20">
        <f>SP16!K22</f>
        <v>0</v>
      </c>
      <c r="K20">
        <f>SP16!L22</f>
        <v>0</v>
      </c>
      <c r="L20" s="214">
        <f>SP16!AQ22</f>
        <v>0</v>
      </c>
      <c r="M20" s="214">
        <f>SP16!AR22</f>
        <v>0</v>
      </c>
    </row>
    <row r="21" spans="1:13" ht="12.75">
      <c r="A21" t="str">
        <f>SP16!B23</f>
        <v>VR3</v>
      </c>
      <c r="B21">
        <f>SP16!C23</f>
        <v>21</v>
      </c>
      <c r="C21" t="e">
        <f>IF((SP16!D23)="Freilos",0,VLOOKUP(SP16!D23,Spielereingabe!$G$6:$J$21,4,FALSE))</f>
        <v>#N/A</v>
      </c>
      <c r="D21" t="e">
        <f>IF((SP16!E23)="Freilos",0,VLOOKUP(SP16!E23,Spielereingabe!$G$6:$J$21,4,FALSE))</f>
        <v>#N/A</v>
      </c>
      <c r="E21">
        <f>SP16!F23</f>
        <v>0</v>
      </c>
      <c r="F21">
        <f>SP16!G23</f>
        <v>0</v>
      </c>
      <c r="G21">
        <f>SP16!H23</f>
        <v>0</v>
      </c>
      <c r="H21">
        <f>SP16!I23</f>
        <v>0</v>
      </c>
      <c r="I21">
        <f>SP16!J23</f>
        <v>0</v>
      </c>
      <c r="J21">
        <f>SP16!K23</f>
        <v>0</v>
      </c>
      <c r="K21">
        <f>SP16!L23</f>
        <v>0</v>
      </c>
      <c r="L21" s="214">
        <f>SP16!AQ23</f>
        <v>0</v>
      </c>
      <c r="M21" s="214">
        <f>SP16!AR23</f>
        <v>0</v>
      </c>
    </row>
    <row r="22" spans="1:13" ht="12.75">
      <c r="A22" t="s">
        <v>44</v>
      </c>
      <c r="B22">
        <f>SP16!C24</f>
        <v>22</v>
      </c>
      <c r="C22" t="e">
        <f>IF((SP16!D24)="Freilos",0,VLOOKUP(SP16!D24,Spielereingabe!$G$6:$J$21,4,FALSE))</f>
        <v>#N/A</v>
      </c>
      <c r="D22" t="e">
        <f>IF((SP16!E24)="Freilos",0,VLOOKUP(SP16!E24,Spielereingabe!$G$6:$J$21,4,FALSE))</f>
        <v>#N/A</v>
      </c>
      <c r="E22">
        <f>SP16!F24</f>
        <v>0</v>
      </c>
      <c r="F22">
        <f>SP16!G24</f>
        <v>0</v>
      </c>
      <c r="G22">
        <f>SP16!H24</f>
        <v>0</v>
      </c>
      <c r="H22">
        <f>SP16!I24</f>
        <v>0</v>
      </c>
      <c r="I22">
        <f>SP16!J24</f>
        <v>0</v>
      </c>
      <c r="J22">
        <f>SP16!K24</f>
        <v>0</v>
      </c>
      <c r="K22">
        <f>SP16!L24</f>
        <v>0</v>
      </c>
      <c r="L22" s="214">
        <f>SP16!AQ24</f>
        <v>0</v>
      </c>
      <c r="M22" s="214">
        <f>SP16!AR24</f>
        <v>0</v>
      </c>
    </row>
    <row r="23" spans="1:13" ht="12.75">
      <c r="A23" t="str">
        <f>SP16!B25</f>
        <v>GR2</v>
      </c>
      <c r="B23">
        <f>SP16!C25</f>
        <v>23</v>
      </c>
      <c r="C23" t="e">
        <f>IF((SP16!D25)="Freilos",0,VLOOKUP(SP16!D25,Spielereingabe!$G$6:$J$21,4,FALSE))</f>
        <v>#N/A</v>
      </c>
      <c r="D23" t="e">
        <f>IF((SP16!E25)="Freilos",0,VLOOKUP(SP16!E25,Spielereingabe!$G$6:$J$21,4,FALSE))</f>
        <v>#N/A</v>
      </c>
      <c r="E23">
        <f>SP16!F25</f>
        <v>0</v>
      </c>
      <c r="F23">
        <f>SP16!G25</f>
        <v>0</v>
      </c>
      <c r="G23">
        <f>SP16!H25</f>
        <v>0</v>
      </c>
      <c r="H23">
        <f>SP16!I25</f>
        <v>0</v>
      </c>
      <c r="I23">
        <f>SP16!J25</f>
        <v>0</v>
      </c>
      <c r="J23">
        <f>SP16!K25</f>
        <v>0</v>
      </c>
      <c r="K23">
        <f>SP16!L25</f>
        <v>0</v>
      </c>
      <c r="L23" s="214">
        <f>SP16!AQ25</f>
        <v>0</v>
      </c>
      <c r="M23" s="214">
        <f>SP16!AR25</f>
        <v>0</v>
      </c>
    </row>
    <row r="24" spans="1:13" ht="12.75">
      <c r="A24" t="s">
        <v>50</v>
      </c>
      <c r="B24">
        <f>SP16!C26</f>
        <v>24</v>
      </c>
      <c r="C24" t="e">
        <f>IF((SP16!D26)="Freilos",0,VLOOKUP(SP16!D26,Spielereingabe!$G$6:$J$21,4,FALSE))</f>
        <v>#N/A</v>
      </c>
      <c r="D24" t="e">
        <f>IF((SP16!E26)="Freilos",0,VLOOKUP(SP16!E26,Spielereingabe!$G$6:$J$21,4,FALSE))</f>
        <v>#N/A</v>
      </c>
      <c r="E24">
        <f>SP16!F26</f>
        <v>0</v>
      </c>
      <c r="F24">
        <f>SP16!G26</f>
        <v>0</v>
      </c>
      <c r="G24">
        <f>SP16!H26</f>
        <v>0</v>
      </c>
      <c r="H24">
        <f>SP16!I26</f>
        <v>0</v>
      </c>
      <c r="I24">
        <f>SP16!J26</f>
        <v>0</v>
      </c>
      <c r="J24">
        <f>SP16!K26</f>
        <v>0</v>
      </c>
      <c r="K24">
        <f>SP16!L26</f>
        <v>0</v>
      </c>
      <c r="L24" s="214">
        <f>SP16!AQ26</f>
        <v>0</v>
      </c>
      <c r="M24" s="214">
        <f>SP16!AR26</f>
        <v>0</v>
      </c>
    </row>
    <row r="25" spans="1:13" ht="12.75">
      <c r="A25" t="str">
        <f>SP16!B27</f>
        <v>VR4</v>
      </c>
      <c r="B25">
        <f>SP16!C27</f>
        <v>25</v>
      </c>
      <c r="C25" t="e">
        <f>IF((SP16!D27)="Freilos",0,VLOOKUP(SP16!D27,Spielereingabe!$G$6:$J$21,4,FALSE))</f>
        <v>#N/A</v>
      </c>
      <c r="D25" t="e">
        <f>IF((SP16!E27)="Freilos",0,VLOOKUP(SP16!E27,Spielereingabe!$G$6:$J$21,4,FALSE))</f>
        <v>#N/A</v>
      </c>
      <c r="E25">
        <f>SP16!F27</f>
        <v>0</v>
      </c>
      <c r="F25">
        <f>SP16!G27</f>
        <v>0</v>
      </c>
      <c r="G25">
        <f>SP16!H27</f>
        <v>0</v>
      </c>
      <c r="H25">
        <f>SP16!I27</f>
        <v>0</v>
      </c>
      <c r="I25">
        <f>SP16!J27</f>
        <v>0</v>
      </c>
      <c r="J25">
        <f>SP16!K27</f>
        <v>0</v>
      </c>
      <c r="K25">
        <f>SP16!L27</f>
        <v>0</v>
      </c>
      <c r="L25" s="214">
        <f>SP16!AQ27</f>
        <v>0</v>
      </c>
      <c r="M25" s="214">
        <f>SP16!AR27</f>
        <v>0</v>
      </c>
    </row>
    <row r="26" spans="1:13" ht="12.75">
      <c r="A26" t="s">
        <v>45</v>
      </c>
      <c r="B26">
        <f>SP16!C28</f>
        <v>26</v>
      </c>
      <c r="C26" t="e">
        <f>IF((SP16!D28)="Freilos",0,VLOOKUP(SP16!D28,Spielereingabe!$G$6:$J$21,4,FALSE))</f>
        <v>#N/A</v>
      </c>
      <c r="D26" t="e">
        <f>IF((SP16!E28)="Freilos",0,VLOOKUP(SP16!E28,Spielereingabe!$G$6:$J$21,4,FALSE))</f>
        <v>#N/A</v>
      </c>
      <c r="E26">
        <f>SP16!F28</f>
        <v>0</v>
      </c>
      <c r="F26">
        <f>SP16!G28</f>
        <v>0</v>
      </c>
      <c r="G26">
        <f>SP16!H28</f>
        <v>0</v>
      </c>
      <c r="H26">
        <f>SP16!I28</f>
        <v>0</v>
      </c>
      <c r="I26">
        <f>SP16!J28</f>
        <v>0</v>
      </c>
      <c r="J26">
        <f>SP16!K28</f>
        <v>0</v>
      </c>
      <c r="K26">
        <f>SP16!L28</f>
        <v>0</v>
      </c>
      <c r="L26" s="214">
        <f>SP16!AQ28</f>
        <v>0</v>
      </c>
      <c r="M26" s="214">
        <f>SP16!AR28</f>
        <v>0</v>
      </c>
    </row>
    <row r="27" spans="1:13" ht="12.75">
      <c r="A27" t="str">
        <f>SP16!B29</f>
        <v>VR5</v>
      </c>
      <c r="B27">
        <f>SP16!C29</f>
        <v>27</v>
      </c>
      <c r="C27" t="e">
        <f>IF((SP16!D29)="Freilos",0,VLOOKUP(SP16!D29,Spielereingabe!$G$6:$J$21,4,FALSE))</f>
        <v>#N/A</v>
      </c>
      <c r="D27" t="e">
        <f>IF((SP16!E29)="Freilos",0,VLOOKUP(SP16!E29,Spielereingabe!$G$6:$J$21,4,FALSE))</f>
        <v>#N/A</v>
      </c>
      <c r="E27">
        <f>SP16!F29</f>
        <v>0</v>
      </c>
      <c r="F27">
        <f>SP16!G29</f>
        <v>0</v>
      </c>
      <c r="G27">
        <f>SP16!H29</f>
        <v>0</v>
      </c>
      <c r="H27">
        <f>SP16!I29</f>
        <v>0</v>
      </c>
      <c r="I27">
        <f>SP16!J29</f>
        <v>0</v>
      </c>
      <c r="J27">
        <f>SP16!K29</f>
        <v>0</v>
      </c>
      <c r="K27">
        <f>SP16!L29</f>
        <v>0</v>
      </c>
      <c r="L27" s="214">
        <f>SP16!AQ29</f>
        <v>0</v>
      </c>
      <c r="M27" s="214">
        <f>SP16!AR29</f>
        <v>0</v>
      </c>
    </row>
    <row r="28" spans="1:13" ht="12.75">
      <c r="A28" t="str">
        <f>SP16!B30</f>
        <v>GR3</v>
      </c>
      <c r="B28">
        <f>SP16!C30</f>
        <v>28</v>
      </c>
      <c r="C28" t="e">
        <f>IF((SP16!D30)="Freilos",0,VLOOKUP(SP16!D30,Spielereingabe!$G$6:$J$21,4,FALSE))</f>
        <v>#N/A</v>
      </c>
      <c r="D28" t="e">
        <f>IF((SP16!E30)="Freilos",0,VLOOKUP(SP16!E30,Spielereingabe!$G$6:$J$21,4,FALSE))</f>
        <v>#N/A</v>
      </c>
      <c r="E28">
        <f>SP16!F30</f>
        <v>0</v>
      </c>
      <c r="F28">
        <f>SP16!G30</f>
        <v>0</v>
      </c>
      <c r="G28">
        <f>SP16!H30</f>
        <v>0</v>
      </c>
      <c r="H28">
        <f>SP16!I30</f>
        <v>0</v>
      </c>
      <c r="I28">
        <f>SP16!J30</f>
        <v>0</v>
      </c>
      <c r="J28">
        <f>SP16!K30</f>
        <v>0</v>
      </c>
      <c r="K28">
        <f>SP16!L30</f>
        <v>0</v>
      </c>
      <c r="L28" s="214">
        <f>SP16!AQ30</f>
        <v>0</v>
      </c>
      <c r="M28" s="214">
        <f>SP16!AR30</f>
        <v>0</v>
      </c>
    </row>
    <row r="29" spans="1:13" ht="12.75">
      <c r="A29" t="str">
        <f>SP16!B31</f>
        <v>VR6</v>
      </c>
      <c r="B29">
        <f>SP16!C31</f>
        <v>29</v>
      </c>
      <c r="C29" t="e">
        <f>IF((SP16!D31)="Freilos",0,VLOOKUP(SP16!D31,Spielereingabe!$G$6:$J$21,4,FALSE))</f>
        <v>#N/A</v>
      </c>
      <c r="D29" t="e">
        <f>IF((SP16!E31)="Freilos",0,VLOOKUP(SP16!E31,Spielereingabe!$G$6:$J$21,4,FALSE))</f>
        <v>#N/A</v>
      </c>
      <c r="E29">
        <f>SP16!F31</f>
        <v>0</v>
      </c>
      <c r="F29">
        <f>SP16!G31</f>
        <v>0</v>
      </c>
      <c r="G29">
        <f>SP16!H31</f>
        <v>0</v>
      </c>
      <c r="H29">
        <f>SP16!I31</f>
        <v>0</v>
      </c>
      <c r="I29">
        <f>SP16!J31</f>
        <v>0</v>
      </c>
      <c r="J29">
        <f>SP16!K31</f>
        <v>0</v>
      </c>
      <c r="K29">
        <f>SP16!L31</f>
        <v>0</v>
      </c>
      <c r="L29" s="214">
        <f>SP16!AQ31</f>
        <v>0</v>
      </c>
      <c r="M29" s="214">
        <f>SP16!AR31</f>
        <v>0</v>
      </c>
    </row>
    <row r="30" spans="1:13" ht="12.75">
      <c r="A30" t="s">
        <v>129</v>
      </c>
      <c r="B30">
        <f>SP16!C32</f>
        <v>30</v>
      </c>
      <c r="C30" t="e">
        <f>IF((SP16!D32)="Freilos",0,VLOOKUP(SP16!D32,Spielereingabe!$G$6:$J$21,4,FALSE))</f>
        <v>#N/A</v>
      </c>
      <c r="D30" t="e">
        <f>IF((SP16!E32)="Freilos",0,VLOOKUP(SP16!E32,Spielereingabe!$G$6:$J$21,4,FALSE))</f>
        <v>#N/A</v>
      </c>
      <c r="E30">
        <f>SP16!F32</f>
        <v>0</v>
      </c>
      <c r="F30">
        <f>SP16!G32</f>
        <v>0</v>
      </c>
      <c r="G30">
        <f>SP16!H32</f>
        <v>0</v>
      </c>
      <c r="H30">
        <f>SP16!I32</f>
        <v>0</v>
      </c>
      <c r="I30">
        <f>SP16!J32</f>
        <v>0</v>
      </c>
      <c r="J30">
        <f>SP16!K32</f>
        <v>0</v>
      </c>
      <c r="K30">
        <f>SP16!L32</f>
        <v>0</v>
      </c>
      <c r="L30" s="214">
        <f>SP16!AQ32</f>
        <v>0</v>
      </c>
      <c r="M30" s="214">
        <f>SP16!AR32</f>
        <v>0</v>
      </c>
    </row>
    <row r="31" spans="1:13" ht="12.75">
      <c r="A31" t="s">
        <v>129</v>
      </c>
      <c r="B31">
        <f>SP16!C33</f>
        <v>31</v>
      </c>
      <c r="C31" t="e">
        <f>IF((SP16!D33)="Freilos",0,VLOOKUP(SP16!D33,Spielereingabe!$G$6:$J$21,4,FALSE))</f>
        <v>#N/A</v>
      </c>
      <c r="D31" t="e">
        <f>IF((SP16!E33)="Freilos",0,VLOOKUP(SP16!E33,Spielereingabe!$G$6:$J$21,4,FALSE))</f>
        <v>#N/A</v>
      </c>
      <c r="E31">
        <f>SP16!F33</f>
        <v>0</v>
      </c>
      <c r="F31">
        <f>SP16!G33</f>
        <v>0</v>
      </c>
      <c r="G31">
        <f>SP16!H33</f>
        <v>0</v>
      </c>
      <c r="H31">
        <f>SP16!I33</f>
        <v>0</v>
      </c>
      <c r="I31">
        <f>SP16!J33</f>
        <v>0</v>
      </c>
      <c r="J31">
        <f>SP16!K33</f>
        <v>0</v>
      </c>
      <c r="K31">
        <f>SP16!L33</f>
        <v>0</v>
      </c>
      <c r="L31" s="214">
        <f>SP16!AQ33</f>
        <v>0</v>
      </c>
      <c r="M31" s="214">
        <f>SP16!AR33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M15"/>
  <sheetViews>
    <sheetView zoomScalePageLayoutView="0" workbookViewId="0" topLeftCell="A1">
      <selection activeCell="M6" sqref="M6"/>
    </sheetView>
  </sheetViews>
  <sheetFormatPr defaultColWidth="11.421875" defaultRowHeight="12.75"/>
  <cols>
    <col min="1" max="1" width="6.00390625" style="0" bestFit="1" customWidth="1"/>
    <col min="2" max="2" width="3.00390625" style="0" bestFit="1" customWidth="1"/>
    <col min="3" max="4" width="7.00390625" style="0" bestFit="1" customWidth="1"/>
    <col min="5" max="10" width="3.00390625" style="0" bestFit="1" customWidth="1"/>
    <col min="11" max="11" width="2.00390625" style="0" bestFit="1" customWidth="1"/>
    <col min="12" max="13" width="8.140625" style="0" bestFit="1" customWidth="1"/>
  </cols>
  <sheetData>
    <row r="1" spans="1:13" ht="12.75">
      <c r="A1" s="220" t="s">
        <v>40</v>
      </c>
      <c r="B1">
        <f>SP16!C15-12</f>
        <v>1</v>
      </c>
      <c r="C1" t="e">
        <f>IF((SP16!D15)="Freilos",0,VLOOKUP(SP16!D15,Spielereingabe!$G$6:$J$21,4,FALSE))</f>
        <v>#N/A</v>
      </c>
      <c r="D1" t="e">
        <f>IF((SP16!E15)="Freilos",0,VLOOKUP(SP16!E15,Spielereingabe!$G$6:$J$21,4,FALSE))</f>
        <v>#N/A</v>
      </c>
      <c r="E1">
        <f>SP16!F15</f>
        <v>0</v>
      </c>
      <c r="F1">
        <f>SP16!G15</f>
        <v>0</v>
      </c>
      <c r="G1">
        <f>SP16!H15</f>
        <v>0</v>
      </c>
      <c r="H1">
        <f>SP16!I15</f>
        <v>0</v>
      </c>
      <c r="I1">
        <f>SP16!J15</f>
        <v>0</v>
      </c>
      <c r="J1">
        <f>SP16!K15</f>
        <v>0</v>
      </c>
      <c r="K1">
        <f>SP16!L15</f>
        <v>0</v>
      </c>
      <c r="L1" s="214">
        <f>SP16!AQ15</f>
        <v>0</v>
      </c>
      <c r="M1" s="214">
        <f>SP16!AR15</f>
        <v>0</v>
      </c>
    </row>
    <row r="2" spans="1:13" ht="12.75">
      <c r="A2" s="220" t="s">
        <v>40</v>
      </c>
      <c r="B2">
        <f>SP16!C16-12</f>
        <v>2</v>
      </c>
      <c r="C2" t="e">
        <f>IF((SP16!D16)="Freilos",0,VLOOKUP(SP16!D16,Spielereingabe!$G$6:$J$21,4,FALSE))</f>
        <v>#N/A</v>
      </c>
      <c r="D2" t="e">
        <f>IF((SP16!E16)="Freilos",0,VLOOKUP(SP16!E16,Spielereingabe!$G$6:$J$21,4,FALSE))</f>
        <v>#N/A</v>
      </c>
      <c r="E2">
        <f>SP16!F16</f>
        <v>0</v>
      </c>
      <c r="F2">
        <f>SP16!G16</f>
        <v>0</v>
      </c>
      <c r="G2">
        <f>SP16!H16</f>
        <v>0</v>
      </c>
      <c r="H2">
        <f>SP16!I16</f>
        <v>0</v>
      </c>
      <c r="I2">
        <f>SP16!J16</f>
        <v>0</v>
      </c>
      <c r="J2">
        <f>SP16!K16</f>
        <v>0</v>
      </c>
      <c r="K2">
        <f>SP16!L16</f>
        <v>0</v>
      </c>
      <c r="L2" s="214">
        <f>SP16!AQ16</f>
        <v>0</v>
      </c>
      <c r="M2" s="214">
        <f>SP16!AR16</f>
        <v>0</v>
      </c>
    </row>
    <row r="3" spans="1:13" ht="12.75">
      <c r="A3" s="220" t="s">
        <v>40</v>
      </c>
      <c r="B3">
        <f>SP16!C17-12</f>
        <v>3</v>
      </c>
      <c r="C3" t="e">
        <f>IF((SP16!D17)="Freilos",0,VLOOKUP(SP16!D17,Spielereingabe!$G$6:$J$21,4,FALSE))</f>
        <v>#N/A</v>
      </c>
      <c r="D3" t="e">
        <f>IF((SP16!E17)="Freilos",0,VLOOKUP(SP16!E17,Spielereingabe!$G$6:$J$21,4,FALSE))</f>
        <v>#N/A</v>
      </c>
      <c r="E3">
        <f>SP16!F17</f>
        <v>0</v>
      </c>
      <c r="F3">
        <f>SP16!G17</f>
        <v>0</v>
      </c>
      <c r="G3">
        <f>SP16!H17</f>
        <v>0</v>
      </c>
      <c r="H3">
        <f>SP16!I17</f>
        <v>0</v>
      </c>
      <c r="I3">
        <f>SP16!J17</f>
        <v>0</v>
      </c>
      <c r="J3">
        <f>SP16!K17</f>
        <v>0</v>
      </c>
      <c r="K3">
        <f>SP16!L17</f>
        <v>0</v>
      </c>
      <c r="L3" s="214">
        <f>SP16!AQ17</f>
        <v>0</v>
      </c>
      <c r="M3" s="214">
        <f>SP16!AR17</f>
        <v>0</v>
      </c>
    </row>
    <row r="4" spans="1:13" ht="12.75">
      <c r="A4" s="220" t="s">
        <v>40</v>
      </c>
      <c r="B4">
        <f>SP16!C18-12</f>
        <v>4</v>
      </c>
      <c r="C4" t="e">
        <f>IF((SP16!D18)="Freilos",0,VLOOKUP(SP16!D18,Spielereingabe!$G$6:$J$21,4,FALSE))</f>
        <v>#N/A</v>
      </c>
      <c r="D4" t="e">
        <f>IF((SP16!E18)="Freilos",0,VLOOKUP(SP16!E18,Spielereingabe!$G$6:$J$21,4,FALSE))</f>
        <v>#N/A</v>
      </c>
      <c r="E4">
        <f>SP16!F18</f>
        <v>0</v>
      </c>
      <c r="F4">
        <f>SP16!G18</f>
        <v>0</v>
      </c>
      <c r="G4">
        <f>SP16!H18</f>
        <v>0</v>
      </c>
      <c r="H4">
        <f>SP16!I18</f>
        <v>0</v>
      </c>
      <c r="I4">
        <f>SP16!J18</f>
        <v>0</v>
      </c>
      <c r="J4">
        <f>SP16!K18</f>
        <v>0</v>
      </c>
      <c r="K4">
        <f>SP16!L18</f>
        <v>0</v>
      </c>
      <c r="L4" s="214">
        <f>SP16!AQ18</f>
        <v>0</v>
      </c>
      <c r="M4" s="214">
        <f>SP16!AR18</f>
        <v>0</v>
      </c>
    </row>
    <row r="5" spans="1:13" ht="12.75">
      <c r="A5" s="220" t="s">
        <v>41</v>
      </c>
      <c r="B5">
        <f>SP16!C23-16</f>
        <v>5</v>
      </c>
      <c r="C5" t="e">
        <f>IF((SP16!D23)="Freilos",0,VLOOKUP(SP16!D23,Spielereingabe!$G$6:$J$21,4,FALSE))</f>
        <v>#N/A</v>
      </c>
      <c r="D5" t="e">
        <f>IF((SP16!E23)="Freilos",0,VLOOKUP(SP16!E23,Spielereingabe!$G$6:$J$21,4,FALSE))</f>
        <v>#N/A</v>
      </c>
      <c r="E5">
        <f>SP16!F23</f>
        <v>0</v>
      </c>
      <c r="F5">
        <f>SP16!G23</f>
        <v>0</v>
      </c>
      <c r="G5">
        <f>SP16!H23</f>
        <v>0</v>
      </c>
      <c r="H5">
        <f>SP16!I23</f>
        <v>0</v>
      </c>
      <c r="I5">
        <f>SP16!J23</f>
        <v>0</v>
      </c>
      <c r="J5">
        <f>SP16!K23</f>
        <v>0</v>
      </c>
      <c r="K5">
        <f>SP16!L23</f>
        <v>0</v>
      </c>
      <c r="L5" s="214">
        <f>SP16!AQ23</f>
        <v>0</v>
      </c>
      <c r="M5" s="214">
        <f>SP16!AR23</f>
        <v>0</v>
      </c>
    </row>
    <row r="6" spans="1:13" ht="12.75">
      <c r="A6" s="220" t="s">
        <v>41</v>
      </c>
      <c r="B6">
        <f>SP16!C24-16</f>
        <v>6</v>
      </c>
      <c r="C6" t="e">
        <f>IF((SP16!D24)="Freilos",0,VLOOKUP(SP16!D24,Spielereingabe!$G$6:$J$21,4,FALSE))</f>
        <v>#N/A</v>
      </c>
      <c r="D6" t="e">
        <f>IF((SP16!E24)="Freilos",0,VLOOKUP(SP16!E24,Spielereingabe!$G$6:$J$21,4,FALSE))</f>
        <v>#N/A</v>
      </c>
      <c r="E6">
        <f>SP16!F24</f>
        <v>0</v>
      </c>
      <c r="F6">
        <f>SP16!G24</f>
        <v>0</v>
      </c>
      <c r="G6">
        <f>SP16!H24</f>
        <v>0</v>
      </c>
      <c r="H6">
        <f>SP16!I24</f>
        <v>0</v>
      </c>
      <c r="I6">
        <f>SP16!J24</f>
        <v>0</v>
      </c>
      <c r="J6">
        <f>SP16!K24</f>
        <v>0</v>
      </c>
      <c r="K6">
        <f>SP16!L24</f>
        <v>0</v>
      </c>
      <c r="L6" s="214">
        <f>SP16!AQ24</f>
        <v>0</v>
      </c>
      <c r="M6" s="214">
        <f>SP16!AR24</f>
        <v>0</v>
      </c>
    </row>
    <row r="7" spans="1:13" ht="12.75">
      <c r="A7" s="220" t="s">
        <v>42</v>
      </c>
      <c r="B7">
        <f>SP16!C25-16</f>
        <v>7</v>
      </c>
      <c r="C7" t="e">
        <f>IF((SP16!D25)="Freilos",0,VLOOKUP(SP16!D25,Spielereingabe!$G$6:$J$21,4,FALSE))</f>
        <v>#N/A</v>
      </c>
      <c r="D7" t="e">
        <f>IF((SP16!E25)="Freilos",0,VLOOKUP(SP16!E25,Spielereingabe!$G$6:$J$21,4,FALSE))</f>
        <v>#N/A</v>
      </c>
      <c r="E7">
        <f>SP16!F25</f>
        <v>0</v>
      </c>
      <c r="F7">
        <f>SP16!G25</f>
        <v>0</v>
      </c>
      <c r="G7">
        <f>SP16!H25</f>
        <v>0</v>
      </c>
      <c r="H7">
        <f>SP16!I25</f>
        <v>0</v>
      </c>
      <c r="I7">
        <f>SP16!J25</f>
        <v>0</v>
      </c>
      <c r="J7">
        <f>SP16!K25</f>
        <v>0</v>
      </c>
      <c r="K7">
        <f>SP16!L25</f>
        <v>0</v>
      </c>
      <c r="L7" s="214">
        <f>SP16!AQ25</f>
        <v>0</v>
      </c>
      <c r="M7" s="214">
        <f>SP16!AR25</f>
        <v>0</v>
      </c>
    </row>
    <row r="8" spans="1:13" ht="12.75">
      <c r="A8" s="220" t="s">
        <v>42</v>
      </c>
      <c r="B8">
        <f>SP16!C26-16</f>
        <v>8</v>
      </c>
      <c r="C8" t="e">
        <f>IF((SP16!D26)="Freilos",0,VLOOKUP(SP16!D26,Spielereingabe!$G$6:$J$21,4,FALSE))</f>
        <v>#N/A</v>
      </c>
      <c r="D8" t="e">
        <f>IF((SP16!E26)="Freilos",0,VLOOKUP(SP16!E26,Spielereingabe!$G$6:$J$21,4,FALSE))</f>
        <v>#N/A</v>
      </c>
      <c r="E8">
        <f>SP16!F26</f>
        <v>0</v>
      </c>
      <c r="F8">
        <f>SP16!G26</f>
        <v>0</v>
      </c>
      <c r="G8">
        <f>SP16!H26</f>
        <v>0</v>
      </c>
      <c r="H8">
        <f>SP16!I26</f>
        <v>0</v>
      </c>
      <c r="I8">
        <f>SP16!J26</f>
        <v>0</v>
      </c>
      <c r="J8">
        <f>SP16!K26</f>
        <v>0</v>
      </c>
      <c r="K8">
        <f>SP16!L26</f>
        <v>0</v>
      </c>
      <c r="L8" s="214">
        <f>SP16!AQ26</f>
        <v>0</v>
      </c>
      <c r="M8" s="214">
        <f>SP16!AR26</f>
        <v>0</v>
      </c>
    </row>
    <row r="9" spans="1:13" ht="12.75">
      <c r="A9" s="220" t="s">
        <v>43</v>
      </c>
      <c r="B9">
        <f>SP16!C27-16</f>
        <v>9</v>
      </c>
      <c r="C9" t="e">
        <f>IF((SP16!D27)="Freilos",0,VLOOKUP(SP16!D27,Spielereingabe!$G$6:$J$21,4,FALSE))</f>
        <v>#N/A</v>
      </c>
      <c r="D9" t="e">
        <f>IF((SP16!E27)="Freilos",0,VLOOKUP(SP16!E27,Spielereingabe!$G$6:$J$21,4,FALSE))</f>
        <v>#N/A</v>
      </c>
      <c r="E9">
        <f>SP16!F27</f>
        <v>0</v>
      </c>
      <c r="F9">
        <f>SP16!G27</f>
        <v>0</v>
      </c>
      <c r="G9">
        <f>SP16!H27</f>
        <v>0</v>
      </c>
      <c r="H9">
        <f>SP16!I27</f>
        <v>0</v>
      </c>
      <c r="I9">
        <f>SP16!J27</f>
        <v>0</v>
      </c>
      <c r="J9">
        <f>SP16!K27</f>
        <v>0</v>
      </c>
      <c r="K9">
        <f>SP16!L27</f>
        <v>0</v>
      </c>
      <c r="L9" s="214">
        <f>SP16!AQ27</f>
        <v>0</v>
      </c>
      <c r="M9" s="214">
        <f>SP16!AR27</f>
        <v>0</v>
      </c>
    </row>
    <row r="10" spans="1:13" ht="12.75">
      <c r="A10" s="220" t="s">
        <v>43</v>
      </c>
      <c r="B10">
        <f>SP16!C28-16</f>
        <v>10</v>
      </c>
      <c r="C10" t="e">
        <f>IF((SP16!D28)="Freilos",0,VLOOKUP(SP16!D28,Spielereingabe!$G$6:$J$21,4,FALSE))</f>
        <v>#N/A</v>
      </c>
      <c r="D10" t="e">
        <f>IF((SP16!E28)="Freilos",0,VLOOKUP(SP16!E28,Spielereingabe!$G$6:$J$21,4,FALSE))</f>
        <v>#N/A</v>
      </c>
      <c r="E10">
        <f>SP16!F28</f>
        <v>0</v>
      </c>
      <c r="F10">
        <f>SP16!G28</f>
        <v>0</v>
      </c>
      <c r="G10">
        <f>SP16!H28</f>
        <v>0</v>
      </c>
      <c r="H10">
        <f>SP16!I28</f>
        <v>0</v>
      </c>
      <c r="I10">
        <f>SP16!J28</f>
        <v>0</v>
      </c>
      <c r="J10">
        <f>SP16!K28</f>
        <v>0</v>
      </c>
      <c r="K10">
        <f>SP16!L28</f>
        <v>0</v>
      </c>
      <c r="L10" s="214">
        <f>SP16!AQ28</f>
        <v>0</v>
      </c>
      <c r="M10" s="214">
        <f>SP16!AR28</f>
        <v>0</v>
      </c>
    </row>
    <row r="11" spans="1:13" ht="12.75">
      <c r="A11" s="220" t="s">
        <v>44</v>
      </c>
      <c r="B11">
        <f>SP16!C29-16</f>
        <v>11</v>
      </c>
      <c r="C11" t="e">
        <f>IF((SP16!D29)="Freilos",0,VLOOKUP(SP16!D29,Spielereingabe!$G$6:$J$21,4,FALSE))</f>
        <v>#N/A</v>
      </c>
      <c r="D11" t="e">
        <f>IF((SP16!E29)="Freilos",0,VLOOKUP(SP16!E29,Spielereingabe!$G$6:$J$21,4,FALSE))</f>
        <v>#N/A</v>
      </c>
      <c r="E11">
        <f>SP16!F29</f>
        <v>0</v>
      </c>
      <c r="F11">
        <f>SP16!G29</f>
        <v>0</v>
      </c>
      <c r="G11">
        <f>SP16!H29</f>
        <v>0</v>
      </c>
      <c r="H11">
        <f>SP16!I29</f>
        <v>0</v>
      </c>
      <c r="I11">
        <f>SP16!J29</f>
        <v>0</v>
      </c>
      <c r="J11">
        <f>SP16!K29</f>
        <v>0</v>
      </c>
      <c r="K11">
        <f>SP16!L29</f>
        <v>0</v>
      </c>
      <c r="L11" s="214">
        <f>SP16!AQ29</f>
        <v>0</v>
      </c>
      <c r="M11" s="214">
        <f>SP16!AR29</f>
        <v>0</v>
      </c>
    </row>
    <row r="12" spans="1:13" ht="12.75">
      <c r="A12" s="220" t="s">
        <v>51</v>
      </c>
      <c r="B12">
        <f>SP16!C30-16</f>
        <v>12</v>
      </c>
      <c r="C12" t="e">
        <f>IF((SP16!D30)="Freilos",0,VLOOKUP(SP16!D30,Spielereingabe!$G$6:$J$21,4,FALSE))</f>
        <v>#N/A</v>
      </c>
      <c r="D12" t="e">
        <f>IF((SP16!E30)="Freilos",0,VLOOKUP(SP16!E30,Spielereingabe!$G$6:$J$21,4,FALSE))</f>
        <v>#N/A</v>
      </c>
      <c r="E12">
        <f>SP16!F30</f>
        <v>0</v>
      </c>
      <c r="F12">
        <f>SP16!G30</f>
        <v>0</v>
      </c>
      <c r="G12">
        <f>SP16!H30</f>
        <v>0</v>
      </c>
      <c r="H12">
        <f>SP16!I30</f>
        <v>0</v>
      </c>
      <c r="I12">
        <f>SP16!J30</f>
        <v>0</v>
      </c>
      <c r="J12">
        <f>SP16!K30</f>
        <v>0</v>
      </c>
      <c r="K12">
        <f>SP16!L30</f>
        <v>0</v>
      </c>
      <c r="L12" s="214">
        <f>SP16!AQ30</f>
        <v>0</v>
      </c>
      <c r="M12" s="214">
        <f>SP16!AR30</f>
        <v>0</v>
      </c>
    </row>
    <row r="13" spans="1:13" ht="12.75">
      <c r="A13" s="220" t="s">
        <v>45</v>
      </c>
      <c r="B13">
        <f>SP16!C31-16</f>
        <v>13</v>
      </c>
      <c r="C13" t="e">
        <f>IF((SP16!D31)="Freilos",0,VLOOKUP(SP16!D31,Spielereingabe!$G$6:$J$21,4,FALSE))</f>
        <v>#N/A</v>
      </c>
      <c r="D13" t="e">
        <f>IF((SP16!E31)="Freilos",0,VLOOKUP(SP16!E31,Spielereingabe!$G$6:$J$21,4,FALSE))</f>
        <v>#N/A</v>
      </c>
      <c r="E13">
        <f>SP16!F31</f>
        <v>0</v>
      </c>
      <c r="F13">
        <f>SP16!G31</f>
        <v>0</v>
      </c>
      <c r="G13">
        <f>SP16!H31</f>
        <v>0</v>
      </c>
      <c r="H13">
        <f>SP16!I31</f>
        <v>0</v>
      </c>
      <c r="I13">
        <f>SP16!J31</f>
        <v>0</v>
      </c>
      <c r="J13">
        <f>SP16!K31</f>
        <v>0</v>
      </c>
      <c r="K13">
        <f>SP16!L31</f>
        <v>0</v>
      </c>
      <c r="L13" s="214">
        <f>SP16!AQ31</f>
        <v>0</v>
      </c>
      <c r="M13" s="214">
        <f>SP16!AR31</f>
        <v>0</v>
      </c>
    </row>
    <row r="14" spans="1:13" ht="12.75">
      <c r="A14" s="220" t="s">
        <v>129</v>
      </c>
      <c r="B14">
        <f>SP16!C32-16</f>
        <v>14</v>
      </c>
      <c r="C14" t="e">
        <f>IF((SP16!D32)="Freilos",0,VLOOKUP(SP16!D32,Spielereingabe!$G$6:$J$21,4,FALSE))</f>
        <v>#N/A</v>
      </c>
      <c r="D14" t="e">
        <f>IF((SP16!E32)="Freilos",0,VLOOKUP(SP16!E32,Spielereingabe!$G$6:$J$21,4,FALSE))</f>
        <v>#N/A</v>
      </c>
      <c r="E14">
        <f>SP16!F32</f>
        <v>0</v>
      </c>
      <c r="F14">
        <f>SP16!G32</f>
        <v>0</v>
      </c>
      <c r="G14">
        <f>SP16!H32</f>
        <v>0</v>
      </c>
      <c r="H14">
        <f>SP16!I32</f>
        <v>0</v>
      </c>
      <c r="I14">
        <f>SP16!J32</f>
        <v>0</v>
      </c>
      <c r="J14">
        <f>SP16!K32</f>
        <v>0</v>
      </c>
      <c r="K14">
        <f>SP16!L32</f>
        <v>0</v>
      </c>
      <c r="L14" s="214">
        <f>SP16!AQ32</f>
        <v>0</v>
      </c>
      <c r="M14" s="214">
        <f>SP16!AR32</f>
        <v>0</v>
      </c>
    </row>
    <row r="15" spans="1:13" ht="12.75">
      <c r="A15" s="220" t="s">
        <v>129</v>
      </c>
      <c r="B15">
        <f>SP16!C33-16</f>
        <v>15</v>
      </c>
      <c r="C15" t="e">
        <f>IF((SP16!D33)="Freilos",0,VLOOKUP(SP16!D33,Spielereingabe!$G$6:$J$21,4,FALSE))</f>
        <v>#N/A</v>
      </c>
      <c r="D15" t="e">
        <f>IF((SP16!E33)="Freilos",0,VLOOKUP(SP16!E33,Spielereingabe!$G$6:$J$21,4,FALSE))</f>
        <v>#N/A</v>
      </c>
      <c r="E15">
        <f>SP16!F33</f>
        <v>0</v>
      </c>
      <c r="F15">
        <f>SP16!G33</f>
        <v>0</v>
      </c>
      <c r="G15">
        <f>SP16!H33</f>
        <v>0</v>
      </c>
      <c r="H15">
        <f>SP16!I33</f>
        <v>0</v>
      </c>
      <c r="I15">
        <f>SP16!J33</f>
        <v>0</v>
      </c>
      <c r="J15">
        <f>SP16!K33</f>
        <v>0</v>
      </c>
      <c r="K15">
        <f>SP16!L33</f>
        <v>0</v>
      </c>
      <c r="L15" s="214">
        <f>SP16!AQ33</f>
        <v>0</v>
      </c>
      <c r="M15" s="214">
        <f>SP16!AR33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Suchan Kurt</dc:creator>
  <cp:keywords/>
  <dc:description/>
  <cp:lastModifiedBy>Kurt Suchan</cp:lastModifiedBy>
  <cp:lastPrinted>2003-08-28T06:08:00Z</cp:lastPrinted>
  <dcterms:created xsi:type="dcterms:W3CDTF">2001-09-23T08:53:31Z</dcterms:created>
  <dcterms:modified xsi:type="dcterms:W3CDTF">2010-01-27T07:05:10Z</dcterms:modified>
  <cp:category/>
  <cp:version/>
  <cp:contentType/>
  <cp:contentStatus/>
</cp:coreProperties>
</file>