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30" windowWidth="9720" windowHeight="6495" tabRatio="749" activeTab="2"/>
  </bookViews>
  <sheets>
    <sheet name="BA-Teilnehmer" sheetId="1" r:id="rId1"/>
    <sheet name="Auslosung_Turnierdaten" sheetId="2" r:id="rId2"/>
    <sheet name="SP32" sheetId="3" r:id="rId3"/>
    <sheet name="Baum32" sheetId="4" r:id="rId4"/>
    <sheet name="Paarung drucken" sheetId="5" r:id="rId5"/>
    <sheet name="Tabelle" sheetId="6" r:id="rId6"/>
    <sheet name="BA-Expoort" sheetId="7" r:id="rId7"/>
    <sheet name="Preisgeld" sheetId="8" state="hidden" r:id="rId8"/>
  </sheets>
  <definedNames>
    <definedName name="_xlnm.Print_Area" localSheetId="3">'Baum32'!$G$2:$P$35</definedName>
    <definedName name="_xlnm.Print_Area" localSheetId="2">'SP32'!$B$2:$L$62</definedName>
    <definedName name="_xlnm.Print_Area" localSheetId="5">'Tabelle'!$C$1:$O$35</definedName>
    <definedName name="sp32">'SP32'!$C$2:$L$62</definedName>
    <definedName name="Tabelle">'Tabelle'!$C$3:$O$34</definedName>
  </definedNames>
  <calcPr fullCalcOnLoad="1"/>
</workbook>
</file>

<file path=xl/sharedStrings.xml><?xml version="1.0" encoding="utf-8"?>
<sst xmlns="http://schemas.openxmlformats.org/spreadsheetml/2006/main" count="377" uniqueCount="229">
  <si>
    <t>Bedienungsanleitung des Spielplans:</t>
  </si>
  <si>
    <t>Tabelle siehe Tabelle</t>
  </si>
  <si>
    <t>Name, Vorname</t>
  </si>
  <si>
    <t>Verein</t>
  </si>
  <si>
    <t>PZ</t>
  </si>
  <si>
    <t>Verein_Nr</t>
  </si>
  <si>
    <t>Lfd_Nr</t>
  </si>
  <si>
    <t>Punkte</t>
  </si>
  <si>
    <t>GP</t>
  </si>
  <si>
    <t>VP</t>
  </si>
  <si>
    <t>Tln1</t>
  </si>
  <si>
    <t>Tln2</t>
  </si>
  <si>
    <t>Sp1</t>
  </si>
  <si>
    <t>Sp2</t>
  </si>
  <si>
    <t>Auf1</t>
  </si>
  <si>
    <t>Auf2</t>
  </si>
  <si>
    <t>HS1</t>
  </si>
  <si>
    <t>HS2</t>
  </si>
  <si>
    <t>Ges</t>
  </si>
  <si>
    <t>A1g</t>
  </si>
  <si>
    <t>A2g</t>
  </si>
  <si>
    <t>A1+</t>
  </si>
  <si>
    <t>A2+</t>
  </si>
  <si>
    <t>P1</t>
  </si>
  <si>
    <t>P2</t>
  </si>
  <si>
    <t>Nr</t>
  </si>
  <si>
    <t>Name</t>
  </si>
  <si>
    <t>Pkt</t>
  </si>
  <si>
    <t>P</t>
  </si>
  <si>
    <t>Spg</t>
  </si>
  <si>
    <t>GSp</t>
  </si>
  <si>
    <t>VSp</t>
  </si>
  <si>
    <t>Quot</t>
  </si>
  <si>
    <t>Auf</t>
  </si>
  <si>
    <t>GD</t>
  </si>
  <si>
    <t>BED</t>
  </si>
  <si>
    <t>HS</t>
  </si>
  <si>
    <t>lfdNr</t>
  </si>
  <si>
    <t>HR</t>
  </si>
  <si>
    <t>VR1</t>
  </si>
  <si>
    <t>GR1</t>
  </si>
  <si>
    <t>VR2</t>
  </si>
  <si>
    <t>VR3</t>
  </si>
  <si>
    <t>VR4</t>
  </si>
  <si>
    <t>GR2</t>
  </si>
  <si>
    <t>Tisch</t>
  </si>
  <si>
    <t>ausgeschieden:</t>
  </si>
  <si>
    <t>Eingabe Ergebnisse in SP32</t>
  </si>
  <si>
    <t>Turnierbezeichnung:</t>
  </si>
  <si>
    <t>Bsp: BM P2 8B Herren</t>
  </si>
  <si>
    <t>Turnierort:</t>
  </si>
  <si>
    <t>Termin:</t>
  </si>
  <si>
    <t>Ausrichtender Verein:</t>
  </si>
  <si>
    <t>Spieler von oben nach unten eingeben - bei Turnierbeginn auf Schaltfläche Auslosung "drücken" -</t>
  </si>
  <si>
    <t>Auslosung wird ausgeführt und Spielplan mit Freilosen aufgefüllt</t>
  </si>
  <si>
    <t>Verlierer nach 39</t>
  </si>
  <si>
    <t>Verlierer nach 40</t>
  </si>
  <si>
    <t>Verlierer nach 33</t>
  </si>
  <si>
    <t>Verlierer nach 34</t>
  </si>
  <si>
    <t>Verlierer nach 35</t>
  </si>
  <si>
    <t>Verlierer nach 36</t>
  </si>
  <si>
    <t>Verlierer nach 37</t>
  </si>
  <si>
    <t>Verlierer nach 38</t>
  </si>
  <si>
    <t>Verlierer nach 50</t>
  </si>
  <si>
    <t>Verlierer nach 51</t>
  </si>
  <si>
    <t>Verlierer nach 52</t>
  </si>
  <si>
    <t>Verlierer nach 49</t>
  </si>
  <si>
    <t>Tisch:</t>
  </si>
  <si>
    <t>:</t>
  </si>
  <si>
    <t>______</t>
  </si>
  <si>
    <t>Spieler 1</t>
  </si>
  <si>
    <t>Spieler 2</t>
  </si>
  <si>
    <t>Spiel-Nr:</t>
  </si>
  <si>
    <t>Ergebnis bitte eintragen und bei der Turnierleitung abgeben</t>
  </si>
  <si>
    <t>1. Platz</t>
  </si>
  <si>
    <t>2. Platz</t>
  </si>
  <si>
    <t>3. Platz</t>
  </si>
  <si>
    <t>4. Platz</t>
  </si>
  <si>
    <t>5. Platz</t>
  </si>
  <si>
    <t>6. Platz</t>
  </si>
  <si>
    <t>Plazierung</t>
  </si>
  <si>
    <t>Preisgel in %</t>
  </si>
  <si>
    <t>Teilnehmer:</t>
  </si>
  <si>
    <t>Preisgeld:</t>
  </si>
  <si>
    <t>Startgeld:</t>
  </si>
  <si>
    <t>Preisgeld in €</t>
  </si>
  <si>
    <t>Beste Dame 1 Flasche Sekt</t>
  </si>
  <si>
    <t>7. Platz</t>
  </si>
  <si>
    <t>8. Platz</t>
  </si>
  <si>
    <t>Turnierleitung:</t>
  </si>
  <si>
    <t>Partienummer drücken</t>
  </si>
  <si>
    <t>für Druckoption der Lauf-</t>
  </si>
  <si>
    <t>zettel in Leiste rechts</t>
  </si>
  <si>
    <t>Spiel 1 links</t>
  </si>
  <si>
    <t>Spiel 9 links</t>
  </si>
  <si>
    <t>Spiel 5 links</t>
  </si>
  <si>
    <t>Spiel 13 links</t>
  </si>
  <si>
    <t>Spiel 3 links</t>
  </si>
  <si>
    <t>Spiel 11 links</t>
  </si>
  <si>
    <t>Spiel 7 links</t>
  </si>
  <si>
    <t>Spiel 15 links</t>
  </si>
  <si>
    <t>Spiel 2 links</t>
  </si>
  <si>
    <t>Spiel 10 links</t>
  </si>
  <si>
    <t>Spiel 6 links</t>
  </si>
  <si>
    <t>Spiel 14 links</t>
  </si>
  <si>
    <t>Spiel 4 links</t>
  </si>
  <si>
    <t>Spiel 12 links</t>
  </si>
  <si>
    <t>Spiel 8 links</t>
  </si>
  <si>
    <t>Spiel 16 links</t>
  </si>
  <si>
    <t>Spiel 1 rechts</t>
  </si>
  <si>
    <t>Spiel 9 rechts</t>
  </si>
  <si>
    <t>Spiel 5 rechts</t>
  </si>
  <si>
    <t>Spiel 13 rechts</t>
  </si>
  <si>
    <t>Spiel 3 rechts</t>
  </si>
  <si>
    <t>Spiel 11 rechts</t>
  </si>
  <si>
    <t>Spiel 7 rechts</t>
  </si>
  <si>
    <t>Spiel 15 rechts</t>
  </si>
  <si>
    <t>Spiel 2 rechts</t>
  </si>
  <si>
    <t>Spiel 10 rechts</t>
  </si>
  <si>
    <t>Spiel 6 rechts</t>
  </si>
  <si>
    <t>Spiel 14 rechts</t>
  </si>
  <si>
    <t>Spiel 4 rechts</t>
  </si>
  <si>
    <t>Spiel 12 rechts</t>
  </si>
  <si>
    <t>Spiel 8 rechts</t>
  </si>
  <si>
    <t>Spiel 16 rechts</t>
  </si>
  <si>
    <t>V=Pl. 25-32</t>
  </si>
  <si>
    <t>V=Pl. 17-24</t>
  </si>
  <si>
    <t>V=Pl. 13-16</t>
  </si>
  <si>
    <t>V=Pl. 9-12</t>
  </si>
  <si>
    <t>V=Pl. 4</t>
  </si>
  <si>
    <t>Tischdefinition</t>
  </si>
  <si>
    <t>Freilos</t>
  </si>
  <si>
    <t>Verein-Nr</t>
  </si>
  <si>
    <t>Mg-Nr</t>
  </si>
  <si>
    <t>Beginn:</t>
  </si>
  <si>
    <t>Tischanzahl:</t>
  </si>
  <si>
    <t>Spiele gesamt</t>
  </si>
  <si>
    <t>? Zeit pro Partie</t>
  </si>
  <si>
    <t>VR1/GR1</t>
  </si>
  <si>
    <t>GR2/VR3</t>
  </si>
  <si>
    <t>Turnierende ?:</t>
  </si>
  <si>
    <t>P-Ende</t>
  </si>
  <si>
    <t>P-Beginn</t>
  </si>
  <si>
    <t>Dauer</t>
  </si>
  <si>
    <r>
      <t xml:space="preserve">           </t>
    </r>
    <r>
      <rPr>
        <b/>
        <sz val="16"/>
        <color indexed="9"/>
        <rFont val="Arial"/>
        <family val="2"/>
      </rPr>
      <t xml:space="preserve">  Vorsicht doppelte Namenseingabe vorhanden !</t>
    </r>
  </si>
  <si>
    <t xml:space="preserve">   Vorsicht falsche Tischeingabe !</t>
  </si>
  <si>
    <t>Datum:</t>
  </si>
  <si>
    <t>1/4 Fin</t>
  </si>
  <si>
    <t>1/2 Fin</t>
  </si>
  <si>
    <t>Finale</t>
  </si>
  <si>
    <t>Fin</t>
  </si>
  <si>
    <t>Halbfin</t>
  </si>
  <si>
    <t>Viertelfin</t>
  </si>
  <si>
    <t>Viertelfinale</t>
  </si>
  <si>
    <t>Halbfinale</t>
  </si>
  <si>
    <t>Platz 3</t>
  </si>
  <si>
    <t>Einloggen - "Spielbetrieb Verband" - "Ergebnisse Turnier" - Meisterschaft auswählen - "Spielergebnisse bearbeiten" -</t>
  </si>
  <si>
    <t>Teilnehmerliste dann kopieren und in markierten Bereich einfügen - wenn notwendig Verein ergänzen</t>
  </si>
  <si>
    <t>Schaltfläche "Spieler in Spielplan übernehmen" anwählen</t>
  </si>
  <si>
    <t>Spielernummer</t>
  </si>
  <si>
    <t>Vorname</t>
  </si>
  <si>
    <t>Nachname</t>
  </si>
  <si>
    <t>Julian Kurz</t>
  </si>
  <si>
    <t>Christoph Wiedenmann</t>
  </si>
  <si>
    <t>Oliver Luhn</t>
  </si>
  <si>
    <t>Florian Guddat</t>
  </si>
  <si>
    <t>Luis Swidersky</t>
  </si>
  <si>
    <t>Daniel Koslitz</t>
  </si>
  <si>
    <t>Markus Döbler</t>
  </si>
  <si>
    <t>Thomas Engel</t>
  </si>
  <si>
    <t>Julian2 Kurz2</t>
  </si>
  <si>
    <t>Christoph2 Wiedenmann2</t>
  </si>
  <si>
    <t>Oliver2 Luhn2</t>
  </si>
  <si>
    <t>Florian2 Guddat2</t>
  </si>
  <si>
    <t>Luis2 Swidersky2</t>
  </si>
  <si>
    <t>Daniel2 Koslitz2</t>
  </si>
  <si>
    <t>Markus2 Döbler2</t>
  </si>
  <si>
    <t>Thomas2 Engel2</t>
  </si>
  <si>
    <t>Bei Meisterschaften BBV, Verein, Mitliedernummer des Teilnehmers eingeben bzw aus BA-Teilnehmer übernehmen</t>
  </si>
  <si>
    <t>letzte Änderung 25.09.2009</t>
  </si>
  <si>
    <t>leer</t>
  </si>
  <si>
    <t>Kuloyants, Valery [34790]</t>
  </si>
  <si>
    <t>PBC München-West</t>
  </si>
  <si>
    <t>Höcht, Stefan [22445]</t>
  </si>
  <si>
    <t>PBC Mindelheim</t>
  </si>
  <si>
    <t>Schnürch, Martin [23070]</t>
  </si>
  <si>
    <t>PBSC Donauwörth</t>
  </si>
  <si>
    <t>Sohal, Tony [37510]</t>
  </si>
  <si>
    <t>Magic Break</t>
  </si>
  <si>
    <t>Meister, Martin [19054]</t>
  </si>
  <si>
    <t>BC Haunstetten</t>
  </si>
  <si>
    <t>Scholz, Jürgen [35124]</t>
  </si>
  <si>
    <t>Voinescu, Florian [31589]</t>
  </si>
  <si>
    <t>Au-Yeung, Michael [24627]</t>
  </si>
  <si>
    <t>Obermeier, Andreas [29213]</t>
  </si>
  <si>
    <t>BSV PB München</t>
  </si>
  <si>
    <t>Fuchs, Reinhard [25179]</t>
  </si>
  <si>
    <t>BC H18 München</t>
  </si>
  <si>
    <t>Heimmerer, Benjamin [34073]</t>
  </si>
  <si>
    <t>Becherer, Thomas [25734]</t>
  </si>
  <si>
    <t>Mader, Martin [26601]</t>
  </si>
  <si>
    <t>PBC Ulm/Neu-Ulm</t>
  </si>
  <si>
    <t>Spahr, Alexander [29007]</t>
  </si>
  <si>
    <t>PBC Lauingen</t>
  </si>
  <si>
    <t>Braun, Dennis [39840]</t>
  </si>
  <si>
    <t>BSC Martinsried</t>
  </si>
  <si>
    <t>Gruber, Stefan [30145]</t>
  </si>
  <si>
    <t>PBC Augsburg</t>
  </si>
  <si>
    <t>Ruths, Georg [40922]</t>
  </si>
  <si>
    <t>PBC Weilheim</t>
  </si>
  <si>
    <t>Uitz, Richard [16651]</t>
  </si>
  <si>
    <t>Kömürcü, Levent [20064]</t>
  </si>
  <si>
    <t>Bachl, Norbert [16304]</t>
  </si>
  <si>
    <t>1.PBC Königsbrunn</t>
  </si>
  <si>
    <t>Schmid, Andreas [18352]</t>
  </si>
  <si>
    <t>Schröter, Matthias [35127]</t>
  </si>
  <si>
    <t>Smith, Mike jun. [31558]</t>
  </si>
  <si>
    <t>BSC Füssen</t>
  </si>
  <si>
    <t>Kabelin, Sven [24986]</t>
  </si>
  <si>
    <t>Caranica, Philipp [32781]</t>
  </si>
  <si>
    <t>Reutter, Harald [20274]</t>
  </si>
  <si>
    <t>1.BSV Elchingen</t>
  </si>
  <si>
    <t>Hirschbichler, Robert [22548]</t>
  </si>
  <si>
    <t>Volkert, Frank [37753]</t>
  </si>
  <si>
    <t>Fürstenfeldbruck</t>
  </si>
  <si>
    <t>Dingler, Christian [20927]</t>
  </si>
  <si>
    <t>Scholz, Federico [34523]</t>
  </si>
  <si>
    <t>Mayr, Stefan [14899]</t>
  </si>
  <si>
    <t>Guggemos, Florian [37921]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</si>
</sst>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"/>
    <numFmt numFmtId="174" formatCode="0.000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#,##0.00\ [$€-1]"/>
    <numFmt numFmtId="182" formatCode="[$-407]dddd\,\ d\.\ mmmm\ yyyy"/>
    <numFmt numFmtId="183" formatCode="#,##0\ [$€-1]"/>
    <numFmt numFmtId="184" formatCode="#,##0\ &quot;DM&quot;"/>
    <numFmt numFmtId="185" formatCode="_-* #,##0.00\ [$€-1]_-;\-* #,##0.00\ [$€-1]_-;_-* &quot;-&quot;??\ [$€-1]_-"/>
    <numFmt numFmtId="186" formatCode="#,##0\ [$€-1];\-#,##0\ [$€-1]"/>
    <numFmt numFmtId="187" formatCode="#,##0.0\ [$€-1]"/>
    <numFmt numFmtId="188" formatCode="0.0%"/>
    <numFmt numFmtId="189" formatCode="h:mm"/>
    <numFmt numFmtId="190" formatCode="h:mm:ss"/>
    <numFmt numFmtId="191" formatCode="#,##0_ ;\-#,##0\ "/>
    <numFmt numFmtId="192" formatCode="#,##0.0_ ;\-#,##0.0\ "/>
    <numFmt numFmtId="193" formatCode="#,##0.00_ ;\-#,##0.00\ "/>
    <numFmt numFmtId="194" formatCode="h:mm:ss;@"/>
  </numFmts>
  <fonts count="64">
    <font>
      <sz val="10"/>
      <name val="Arial"/>
      <family val="0"/>
    </font>
    <font>
      <sz val="12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4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24"/>
      <name val="Arial"/>
      <family val="0"/>
    </font>
    <font>
      <b/>
      <sz val="8"/>
      <name val="Arial"/>
      <family val="2"/>
    </font>
    <font>
      <sz val="7.5"/>
      <name val="Arial"/>
      <family val="2"/>
    </font>
    <font>
      <sz val="7.5"/>
      <color indexed="10"/>
      <name val="Arial"/>
      <family val="2"/>
    </font>
    <font>
      <b/>
      <sz val="7.5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7.5"/>
      <color indexed="9"/>
      <name val="Arial"/>
      <family val="2"/>
    </font>
    <font>
      <b/>
      <sz val="9"/>
      <color indexed="28"/>
      <name val="Verdana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286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 locked="0"/>
    </xf>
    <xf numFmtId="0" fontId="0" fillId="0" borderId="10" xfId="0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1" fontId="0" fillId="0" borderId="10" xfId="0" applyNumberForma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1" fontId="0" fillId="0" borderId="12" xfId="0" applyNumberForma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1" fontId="0" fillId="0" borderId="11" xfId="0" applyNumberForma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10" xfId="0" applyFont="1" applyFill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35" borderId="16" xfId="0" applyFill="1" applyBorder="1" applyAlignment="1" applyProtection="1">
      <alignment horizontal="center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6" xfId="0" applyFill="1" applyBorder="1" applyAlignment="1" applyProtection="1">
      <alignment horizontal="center"/>
      <protection hidden="1"/>
    </xf>
    <xf numFmtId="0" fontId="0" fillId="34" borderId="16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37" borderId="16" xfId="0" applyFont="1" applyFill="1" applyBorder="1" applyAlignment="1" applyProtection="1">
      <alignment horizontal="center"/>
      <protection hidden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Font="1" applyBorder="1" applyAlignment="1">
      <alignment horizontal="left" vertical="center"/>
    </xf>
    <xf numFmtId="0" fontId="10" fillId="0" borderId="17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181" fontId="1" fillId="0" borderId="18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5" xfId="0" applyFont="1" applyBorder="1" applyAlignment="1">
      <alignment/>
    </xf>
    <xf numFmtId="181" fontId="1" fillId="0" borderId="20" xfId="0" applyNumberFormat="1" applyFont="1" applyBorder="1" applyAlignment="1">
      <alignment/>
    </xf>
    <xf numFmtId="18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36" borderId="21" xfId="0" applyFill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 horizontal="center"/>
      <protection hidden="1"/>
    </xf>
    <xf numFmtId="185" fontId="1" fillId="0" borderId="0" xfId="0" applyNumberFormat="1" applyFont="1" applyAlignment="1">
      <alignment/>
    </xf>
    <xf numFmtId="185" fontId="1" fillId="0" borderId="0" xfId="0" applyNumberFormat="1" applyFont="1" applyAlignment="1">
      <alignment/>
    </xf>
    <xf numFmtId="10" fontId="1" fillId="0" borderId="10" xfId="51" applyNumberFormat="1" applyFont="1" applyBorder="1" applyAlignment="1">
      <alignment/>
    </xf>
    <xf numFmtId="0" fontId="1" fillId="0" borderId="22" xfId="0" applyFont="1" applyBorder="1" applyAlignment="1">
      <alignment horizontal="center"/>
    </xf>
    <xf numFmtId="10" fontId="1" fillId="0" borderId="0" xfId="51" applyNumberFormat="1" applyFont="1" applyBorder="1" applyAlignment="1">
      <alignment horizontal="center"/>
    </xf>
    <xf numFmtId="10" fontId="1" fillId="0" borderId="23" xfId="51" applyNumberFormat="1" applyFont="1" applyBorder="1" applyAlignment="1">
      <alignment/>
    </xf>
    <xf numFmtId="185" fontId="1" fillId="0" borderId="23" xfId="0" applyNumberFormat="1" applyFont="1" applyBorder="1" applyAlignment="1">
      <alignment horizontal="center"/>
    </xf>
    <xf numFmtId="185" fontId="1" fillId="0" borderId="19" xfId="0" applyNumberFormat="1" applyFont="1" applyBorder="1" applyAlignment="1">
      <alignment/>
    </xf>
    <xf numFmtId="10" fontId="1" fillId="0" borderId="11" xfId="51" applyNumberFormat="1" applyFont="1" applyBorder="1" applyAlignment="1">
      <alignment/>
    </xf>
    <xf numFmtId="185" fontId="1" fillId="0" borderId="20" xfId="0" applyNumberFormat="1" applyFont="1" applyBorder="1" applyAlignment="1">
      <alignment/>
    </xf>
    <xf numFmtId="0" fontId="1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37" borderId="24" xfId="0" applyFont="1" applyFill="1" applyBorder="1" applyAlignment="1" applyProtection="1">
      <alignment/>
      <protection hidden="1"/>
    </xf>
    <xf numFmtId="0" fontId="13" fillId="37" borderId="25" xfId="0" applyFont="1" applyFill="1" applyBorder="1" applyAlignment="1" applyProtection="1">
      <alignment/>
      <protection hidden="1"/>
    </xf>
    <xf numFmtId="0" fontId="13" fillId="37" borderId="26" xfId="0" applyFont="1" applyFill="1" applyBorder="1" applyAlignment="1" applyProtection="1">
      <alignment/>
      <protection hidden="1"/>
    </xf>
    <xf numFmtId="0" fontId="13" fillId="38" borderId="27" xfId="0" applyFont="1" applyFill="1" applyBorder="1" applyAlignment="1" applyProtection="1">
      <alignment/>
      <protection hidden="1"/>
    </xf>
    <xf numFmtId="0" fontId="13" fillId="37" borderId="28" xfId="0" applyFont="1" applyFill="1" applyBorder="1" applyAlignment="1" applyProtection="1">
      <alignment/>
      <protection hidden="1"/>
    </xf>
    <xf numFmtId="0" fontId="13" fillId="38" borderId="13" xfId="0" applyNumberFormat="1" applyFont="1" applyFill="1" applyBorder="1" applyAlignment="1" applyProtection="1">
      <alignment/>
      <protection hidden="1"/>
    </xf>
    <xf numFmtId="0" fontId="13" fillId="38" borderId="29" xfId="0" applyNumberFormat="1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 horizontal="left"/>
      <protection hidden="1"/>
    </xf>
    <xf numFmtId="0" fontId="13" fillId="38" borderId="14" xfId="0" applyNumberFormat="1" applyFont="1" applyFill="1" applyBorder="1" applyAlignment="1" applyProtection="1">
      <alignment/>
      <protection hidden="1"/>
    </xf>
    <xf numFmtId="0" fontId="13" fillId="38" borderId="30" xfId="0" applyNumberFormat="1" applyFont="1" applyFill="1" applyBorder="1" applyAlignment="1" applyProtection="1">
      <alignment/>
      <protection hidden="1"/>
    </xf>
    <xf numFmtId="0" fontId="13" fillId="0" borderId="0" xfId="0" applyFont="1" applyFill="1" applyAlignment="1" applyProtection="1">
      <alignment/>
      <protection hidden="1"/>
    </xf>
    <xf numFmtId="0" fontId="13" fillId="0" borderId="0" xfId="0" applyFont="1" applyFill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0" fontId="13" fillId="38" borderId="31" xfId="0" applyNumberFormat="1" applyFont="1" applyFill="1" applyBorder="1" applyAlignment="1" applyProtection="1">
      <alignment/>
      <protection hidden="1"/>
    </xf>
    <xf numFmtId="0" fontId="13" fillId="38" borderId="32" xfId="0" applyNumberFormat="1" applyFont="1" applyFill="1" applyBorder="1" applyAlignment="1" applyProtection="1">
      <alignment/>
      <protection hidden="1"/>
    </xf>
    <xf numFmtId="0" fontId="13" fillId="37" borderId="27" xfId="0" applyFont="1" applyFill="1" applyBorder="1" applyAlignment="1" applyProtection="1">
      <alignment/>
      <protection hidden="1"/>
    </xf>
    <xf numFmtId="0" fontId="13" fillId="37" borderId="33" xfId="0" applyFont="1" applyFill="1" applyBorder="1" applyAlignment="1" applyProtection="1">
      <alignment/>
      <protection hidden="1"/>
    </xf>
    <xf numFmtId="0" fontId="13" fillId="37" borderId="13" xfId="0" applyNumberFormat="1" applyFont="1" applyFill="1" applyBorder="1" applyAlignment="1" applyProtection="1">
      <alignment/>
      <protection hidden="1"/>
    </xf>
    <xf numFmtId="0" fontId="13" fillId="37" borderId="29" xfId="0" applyNumberFormat="1" applyFont="1" applyFill="1" applyBorder="1" applyAlignment="1" applyProtection="1">
      <alignment/>
      <protection hidden="1"/>
    </xf>
    <xf numFmtId="0" fontId="13" fillId="37" borderId="14" xfId="0" applyNumberFormat="1" applyFont="1" applyFill="1" applyBorder="1" applyAlignment="1" applyProtection="1">
      <alignment/>
      <protection hidden="1"/>
    </xf>
    <xf numFmtId="0" fontId="13" fillId="37" borderId="30" xfId="0" applyNumberFormat="1" applyFont="1" applyFill="1" applyBorder="1" applyAlignment="1" applyProtection="1">
      <alignment/>
      <protection hidden="1"/>
    </xf>
    <xf numFmtId="0" fontId="13" fillId="37" borderId="34" xfId="0" applyNumberFormat="1" applyFont="1" applyFill="1" applyBorder="1" applyAlignment="1" applyProtection="1">
      <alignment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0" fontId="13" fillId="34" borderId="27" xfId="0" applyFont="1" applyFill="1" applyBorder="1" applyAlignment="1" applyProtection="1">
      <alignment/>
      <protection hidden="1"/>
    </xf>
    <xf numFmtId="0" fontId="13" fillId="34" borderId="13" xfId="0" applyNumberFormat="1" applyFont="1" applyFill="1" applyBorder="1" applyAlignment="1" applyProtection="1">
      <alignment/>
      <protection hidden="1"/>
    </xf>
    <xf numFmtId="0" fontId="13" fillId="34" borderId="29" xfId="0" applyNumberFormat="1" applyFont="1" applyFill="1" applyBorder="1" applyAlignment="1" applyProtection="1">
      <alignment/>
      <protection hidden="1"/>
    </xf>
    <xf numFmtId="0" fontId="13" fillId="34" borderId="14" xfId="0" applyNumberFormat="1" applyFont="1" applyFill="1" applyBorder="1" applyAlignment="1" applyProtection="1">
      <alignment/>
      <protection hidden="1"/>
    </xf>
    <xf numFmtId="0" fontId="13" fillId="34" borderId="30" xfId="0" applyNumberFormat="1" applyFont="1" applyFill="1" applyBorder="1" applyAlignment="1" applyProtection="1">
      <alignment/>
      <protection hidden="1"/>
    </xf>
    <xf numFmtId="0" fontId="13" fillId="34" borderId="34" xfId="0" applyNumberFormat="1" applyFont="1" applyFill="1" applyBorder="1" applyAlignment="1" applyProtection="1">
      <alignment/>
      <protection hidden="1"/>
    </xf>
    <xf numFmtId="0" fontId="13" fillId="34" borderId="35" xfId="0" applyNumberFormat="1" applyFont="1" applyFill="1" applyBorder="1" applyAlignment="1" applyProtection="1">
      <alignment/>
      <protection hidden="1"/>
    </xf>
    <xf numFmtId="0" fontId="13" fillId="36" borderId="36" xfId="0" applyFont="1" applyFill="1" applyBorder="1" applyAlignment="1" applyProtection="1">
      <alignment/>
      <protection hidden="1"/>
    </xf>
    <xf numFmtId="0" fontId="13" fillId="36" borderId="37" xfId="0" applyFont="1" applyFill="1" applyBorder="1" applyAlignment="1" applyProtection="1">
      <alignment/>
      <protection hidden="1"/>
    </xf>
    <xf numFmtId="1" fontId="13" fillId="36" borderId="37" xfId="0" applyNumberFormat="1" applyFont="1" applyFill="1" applyBorder="1" applyAlignment="1" applyProtection="1">
      <alignment/>
      <protection hidden="1"/>
    </xf>
    <xf numFmtId="0" fontId="13" fillId="36" borderId="38" xfId="0" applyFont="1" applyFill="1" applyBorder="1" applyAlignment="1" applyProtection="1">
      <alignment/>
      <protection hidden="1"/>
    </xf>
    <xf numFmtId="0" fontId="13" fillId="0" borderId="13" xfId="0" applyFont="1" applyBorder="1" applyAlignment="1" applyProtection="1">
      <alignment/>
      <protection hidden="1"/>
    </xf>
    <xf numFmtId="0" fontId="13" fillId="0" borderId="12" xfId="0" applyFont="1" applyBorder="1" applyAlignment="1" applyProtection="1">
      <alignment/>
      <protection hidden="1"/>
    </xf>
    <xf numFmtId="1" fontId="13" fillId="0" borderId="12" xfId="0" applyNumberFormat="1" applyFont="1" applyBorder="1" applyAlignment="1" applyProtection="1">
      <alignment/>
      <protection hidden="1"/>
    </xf>
    <xf numFmtId="2" fontId="13" fillId="0" borderId="12" xfId="0" applyNumberFormat="1" applyFont="1" applyBorder="1" applyAlignment="1" applyProtection="1">
      <alignment/>
      <protection hidden="1"/>
    </xf>
    <xf numFmtId="0" fontId="13" fillId="0" borderId="14" xfId="0" applyFont="1" applyBorder="1" applyAlignment="1" applyProtection="1">
      <alignment/>
      <protection hidden="1"/>
    </xf>
    <xf numFmtId="0" fontId="13" fillId="0" borderId="10" xfId="0" applyFont="1" applyBorder="1" applyAlignment="1" applyProtection="1">
      <alignment/>
      <protection hidden="1"/>
    </xf>
    <xf numFmtId="1" fontId="13" fillId="0" borderId="10" xfId="0" applyNumberFormat="1" applyFont="1" applyBorder="1" applyAlignment="1" applyProtection="1">
      <alignment/>
      <protection hidden="1"/>
    </xf>
    <xf numFmtId="2" fontId="13" fillId="0" borderId="10" xfId="0" applyNumberFormat="1" applyFont="1" applyBorder="1" applyAlignment="1" applyProtection="1">
      <alignment/>
      <protection hidden="1"/>
    </xf>
    <xf numFmtId="0" fontId="13" fillId="0" borderId="19" xfId="0" applyFont="1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3" fillId="0" borderId="15" xfId="0" applyFont="1" applyBorder="1" applyAlignment="1" applyProtection="1">
      <alignment/>
      <protection hidden="1"/>
    </xf>
    <xf numFmtId="0" fontId="13" fillId="0" borderId="11" xfId="0" applyFont="1" applyBorder="1" applyAlignment="1" applyProtection="1">
      <alignment/>
      <protection hidden="1"/>
    </xf>
    <xf numFmtId="1" fontId="13" fillId="0" borderId="11" xfId="0" applyNumberFormat="1" applyFont="1" applyBorder="1" applyAlignment="1" applyProtection="1">
      <alignment/>
      <protection hidden="1"/>
    </xf>
    <xf numFmtId="2" fontId="13" fillId="0" borderId="11" xfId="0" applyNumberFormat="1" applyFont="1" applyBorder="1" applyAlignment="1" applyProtection="1">
      <alignment/>
      <protection hidden="1"/>
    </xf>
    <xf numFmtId="0" fontId="13" fillId="0" borderId="20" xfId="0" applyFont="1" applyBorder="1" applyAlignment="1" applyProtection="1">
      <alignment/>
      <protection hidden="1"/>
    </xf>
    <xf numFmtId="0" fontId="13" fillId="39" borderId="36" xfId="0" applyFont="1" applyFill="1" applyBorder="1" applyAlignment="1" applyProtection="1">
      <alignment/>
      <protection hidden="1"/>
    </xf>
    <xf numFmtId="0" fontId="13" fillId="39" borderId="39" xfId="0" applyFont="1" applyFill="1" applyBorder="1" applyAlignment="1" applyProtection="1">
      <alignment/>
      <protection hidden="1"/>
    </xf>
    <xf numFmtId="0" fontId="13" fillId="39" borderId="40" xfId="0" applyFont="1" applyFill="1" applyBorder="1" applyAlignment="1" applyProtection="1">
      <alignment/>
      <protection hidden="1"/>
    </xf>
    <xf numFmtId="0" fontId="13" fillId="37" borderId="41" xfId="0" applyFont="1" applyFill="1" applyBorder="1" applyAlignment="1" applyProtection="1">
      <alignment horizontal="center"/>
      <protection hidden="1"/>
    </xf>
    <xf numFmtId="0" fontId="13" fillId="37" borderId="26" xfId="0" applyFont="1" applyFill="1" applyBorder="1" applyAlignment="1" applyProtection="1">
      <alignment horizontal="center"/>
      <protection hidden="1"/>
    </xf>
    <xf numFmtId="0" fontId="13" fillId="37" borderId="37" xfId="0" applyFont="1" applyFill="1" applyBorder="1" applyAlignment="1" applyProtection="1">
      <alignment horizontal="center"/>
      <protection hidden="1"/>
    </xf>
    <xf numFmtId="0" fontId="13" fillId="37" borderId="38" xfId="0" applyFont="1" applyFill="1" applyBorder="1" applyAlignment="1" applyProtection="1">
      <alignment horizontal="center"/>
      <protection hidden="1"/>
    </xf>
    <xf numFmtId="0" fontId="13" fillId="39" borderId="42" xfId="0" applyFont="1" applyFill="1" applyBorder="1" applyAlignment="1" applyProtection="1">
      <alignment/>
      <protection hidden="1"/>
    </xf>
    <xf numFmtId="0" fontId="13" fillId="39" borderId="0" xfId="0" applyFont="1" applyFill="1" applyBorder="1" applyAlignment="1" applyProtection="1">
      <alignment/>
      <protection hidden="1"/>
    </xf>
    <xf numFmtId="0" fontId="13" fillId="39" borderId="43" xfId="0" applyFont="1" applyFill="1" applyBorder="1" applyAlignment="1" applyProtection="1">
      <alignment/>
      <protection hidden="1"/>
    </xf>
    <xf numFmtId="0" fontId="13" fillId="40" borderId="0" xfId="0" applyFont="1" applyFill="1" applyAlignment="1" applyProtection="1">
      <alignment/>
      <protection hidden="1"/>
    </xf>
    <xf numFmtId="2" fontId="13" fillId="0" borderId="0" xfId="0" applyNumberFormat="1" applyFont="1" applyAlignment="1" applyProtection="1">
      <alignment/>
      <protection hidden="1"/>
    </xf>
    <xf numFmtId="0" fontId="13" fillId="39" borderId="44" xfId="0" applyFont="1" applyFill="1" applyBorder="1" applyAlignment="1" applyProtection="1">
      <alignment/>
      <protection hidden="1"/>
    </xf>
    <xf numFmtId="0" fontId="13" fillId="39" borderId="45" xfId="0" applyFont="1" applyFill="1" applyBorder="1" applyAlignment="1" applyProtection="1">
      <alignment/>
      <protection hidden="1"/>
    </xf>
    <xf numFmtId="0" fontId="13" fillId="39" borderId="46" xfId="0" applyFont="1" applyFill="1" applyBorder="1" applyAlignment="1" applyProtection="1">
      <alignment/>
      <protection hidden="1"/>
    </xf>
    <xf numFmtId="0" fontId="13" fillId="39" borderId="40" xfId="0" applyFont="1" applyFill="1" applyBorder="1" applyAlignment="1" applyProtection="1">
      <alignment horizontal="left"/>
      <protection hidden="1"/>
    </xf>
    <xf numFmtId="0" fontId="13" fillId="41" borderId="36" xfId="0" applyFont="1" applyFill="1" applyBorder="1" applyAlignment="1" applyProtection="1">
      <alignment horizontal="center"/>
      <protection hidden="1"/>
    </xf>
    <xf numFmtId="0" fontId="15" fillId="39" borderId="47" xfId="0" applyFont="1" applyFill="1" applyBorder="1" applyAlignment="1" applyProtection="1">
      <alignment horizontal="left"/>
      <protection hidden="1"/>
    </xf>
    <xf numFmtId="0" fontId="15" fillId="39" borderId="22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3" fillId="39" borderId="43" xfId="0" applyFont="1" applyFill="1" applyBorder="1" applyAlignment="1" applyProtection="1">
      <alignment horizontal="left"/>
      <protection hidden="1"/>
    </xf>
    <xf numFmtId="0" fontId="13" fillId="39" borderId="46" xfId="0" applyFont="1" applyFill="1" applyBorder="1" applyAlignment="1" applyProtection="1">
      <alignment horizontal="left"/>
      <protection hidden="1"/>
    </xf>
    <xf numFmtId="0" fontId="8" fillId="0" borderId="10" xfId="0" applyFont="1" applyFill="1" applyBorder="1" applyAlignment="1" applyProtection="1">
      <alignment horizontal="center"/>
      <protection hidden="1" locked="0"/>
    </xf>
    <xf numFmtId="0" fontId="0" fillId="34" borderId="48" xfId="0" applyFill="1" applyBorder="1" applyAlignment="1" applyProtection="1">
      <alignment/>
      <protection hidden="1"/>
    </xf>
    <xf numFmtId="0" fontId="8" fillId="0" borderId="10" xfId="0" applyFont="1" applyBorder="1" applyAlignment="1" applyProtection="1">
      <alignment horizontal="center"/>
      <protection hidden="1"/>
    </xf>
    <xf numFmtId="0" fontId="0" fillId="36" borderId="48" xfId="0" applyFill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 horizontal="left"/>
      <protection hidden="1"/>
    </xf>
    <xf numFmtId="0" fontId="0" fillId="36" borderId="27" xfId="0" applyFill="1" applyBorder="1" applyAlignment="1" applyProtection="1">
      <alignment horizontal="center"/>
      <protection hidden="1"/>
    </xf>
    <xf numFmtId="0" fontId="0" fillId="36" borderId="49" xfId="0" applyFill="1" applyBorder="1" applyAlignment="1" applyProtection="1">
      <alignment horizontal="center"/>
      <protection hidden="1"/>
    </xf>
    <xf numFmtId="0" fontId="0" fillId="36" borderId="33" xfId="0" applyFill="1" applyBorder="1" applyAlignment="1" applyProtection="1">
      <alignment horizontal="center"/>
      <protection hidden="1"/>
    </xf>
    <xf numFmtId="0" fontId="0" fillId="36" borderId="50" xfId="0" applyFill="1" applyBorder="1" applyAlignment="1" applyProtection="1">
      <alignment horizontal="center"/>
      <protection hidden="1"/>
    </xf>
    <xf numFmtId="0" fontId="13" fillId="33" borderId="10" xfId="0" applyNumberFormat="1" applyFont="1" applyFill="1" applyBorder="1" applyAlignment="1" applyProtection="1">
      <alignment horizontal="center"/>
      <protection hidden="1"/>
    </xf>
    <xf numFmtId="189" fontId="0" fillId="0" borderId="0" xfId="0" applyNumberFormat="1" applyAlignment="1" applyProtection="1">
      <alignment horizontal="center"/>
      <protection hidden="1"/>
    </xf>
    <xf numFmtId="0" fontId="1" fillId="0" borderId="49" xfId="0" applyFont="1" applyBorder="1" applyAlignment="1" applyProtection="1">
      <alignment/>
      <protection hidden="1"/>
    </xf>
    <xf numFmtId="0" fontId="1" fillId="0" borderId="33" xfId="0" applyFont="1" applyBorder="1" applyAlignment="1" applyProtection="1">
      <alignment/>
      <protection hidden="1"/>
    </xf>
    <xf numFmtId="0" fontId="1" fillId="0" borderId="14" xfId="0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3" fillId="38" borderId="13" xfId="0" applyFont="1" applyFill="1" applyBorder="1" applyAlignment="1" applyProtection="1">
      <alignment horizontal="center"/>
      <protection hidden="1" locked="0"/>
    </xf>
    <xf numFmtId="0" fontId="13" fillId="38" borderId="12" xfId="0" applyFont="1" applyFill="1" applyBorder="1" applyAlignment="1" applyProtection="1">
      <alignment horizontal="center"/>
      <protection hidden="1" locked="0"/>
    </xf>
    <xf numFmtId="0" fontId="13" fillId="42" borderId="24" xfId="0" applyFont="1" applyFill="1" applyBorder="1" applyAlignment="1" applyProtection="1">
      <alignment horizontal="center"/>
      <protection hidden="1" locked="0"/>
    </xf>
    <xf numFmtId="0" fontId="13" fillId="38" borderId="14" xfId="0" applyFont="1" applyFill="1" applyBorder="1" applyAlignment="1" applyProtection="1">
      <alignment horizontal="center"/>
      <protection hidden="1" locked="0"/>
    </xf>
    <xf numFmtId="0" fontId="13" fillId="38" borderId="10" xfId="0" applyFont="1" applyFill="1" applyBorder="1" applyAlignment="1" applyProtection="1">
      <alignment horizontal="center"/>
      <protection hidden="1" locked="0"/>
    </xf>
    <xf numFmtId="0" fontId="13" fillId="42" borderId="28" xfId="0" applyFont="1" applyFill="1" applyBorder="1" applyAlignment="1" applyProtection="1">
      <alignment horizontal="center"/>
      <protection hidden="1" locked="0"/>
    </xf>
    <xf numFmtId="0" fontId="13" fillId="38" borderId="15" xfId="0" applyFont="1" applyFill="1" applyBorder="1" applyAlignment="1" applyProtection="1">
      <alignment horizontal="center"/>
      <protection hidden="1" locked="0"/>
    </xf>
    <xf numFmtId="0" fontId="13" fillId="38" borderId="11" xfId="0" applyFont="1" applyFill="1" applyBorder="1" applyAlignment="1" applyProtection="1">
      <alignment horizontal="center"/>
      <protection hidden="1" locked="0"/>
    </xf>
    <xf numFmtId="0" fontId="13" fillId="42" borderId="51" xfId="0" applyFont="1" applyFill="1" applyBorder="1" applyAlignment="1" applyProtection="1">
      <alignment horizontal="center"/>
      <protection hidden="1" locked="0"/>
    </xf>
    <xf numFmtId="0" fontId="13" fillId="37" borderId="13" xfId="0" applyFont="1" applyFill="1" applyBorder="1" applyAlignment="1" applyProtection="1">
      <alignment horizontal="center"/>
      <protection hidden="1" locked="0"/>
    </xf>
    <xf numFmtId="0" fontId="13" fillId="37" borderId="12" xfId="0" applyFont="1" applyFill="1" applyBorder="1" applyAlignment="1" applyProtection="1">
      <alignment horizontal="center"/>
      <protection hidden="1" locked="0"/>
    </xf>
    <xf numFmtId="0" fontId="13" fillId="37" borderId="14" xfId="0" applyFont="1" applyFill="1" applyBorder="1" applyAlignment="1" applyProtection="1">
      <alignment horizontal="center"/>
      <protection hidden="1" locked="0"/>
    </xf>
    <xf numFmtId="0" fontId="13" fillId="37" borderId="10" xfId="0" applyFont="1" applyFill="1" applyBorder="1" applyAlignment="1" applyProtection="1">
      <alignment horizontal="center"/>
      <protection hidden="1" locked="0"/>
    </xf>
    <xf numFmtId="0" fontId="13" fillId="37" borderId="15" xfId="0" applyFont="1" applyFill="1" applyBorder="1" applyAlignment="1" applyProtection="1">
      <alignment horizontal="center"/>
      <protection hidden="1" locked="0"/>
    </xf>
    <xf numFmtId="0" fontId="13" fillId="37" borderId="11" xfId="0" applyFont="1" applyFill="1" applyBorder="1" applyAlignment="1" applyProtection="1">
      <alignment horizontal="center"/>
      <protection hidden="1" locked="0"/>
    </xf>
    <xf numFmtId="0" fontId="13" fillId="34" borderId="13" xfId="0" applyFont="1" applyFill="1" applyBorder="1" applyAlignment="1" applyProtection="1">
      <alignment horizontal="center"/>
      <protection hidden="1" locked="0"/>
    </xf>
    <xf numFmtId="0" fontId="13" fillId="34" borderId="12" xfId="0" applyFont="1" applyFill="1" applyBorder="1" applyAlignment="1" applyProtection="1">
      <alignment horizontal="center"/>
      <protection hidden="1" locked="0"/>
    </xf>
    <xf numFmtId="0" fontId="13" fillId="34" borderId="14" xfId="0" applyFont="1" applyFill="1" applyBorder="1" applyAlignment="1" applyProtection="1">
      <alignment horizontal="center"/>
      <protection hidden="1" locked="0"/>
    </xf>
    <xf numFmtId="0" fontId="13" fillId="34" borderId="10" xfId="0" applyFont="1" applyFill="1" applyBorder="1" applyAlignment="1" applyProtection="1">
      <alignment horizontal="center"/>
      <protection hidden="1" locked="0"/>
    </xf>
    <xf numFmtId="0" fontId="13" fillId="42" borderId="52" xfId="0" applyFont="1" applyFill="1" applyBorder="1" applyAlignment="1" applyProtection="1">
      <alignment horizontal="center"/>
      <protection hidden="1" locked="0"/>
    </xf>
    <xf numFmtId="0" fontId="13" fillId="37" borderId="34" xfId="0" applyFont="1" applyFill="1" applyBorder="1" applyAlignment="1" applyProtection="1">
      <alignment horizontal="center"/>
      <protection hidden="1" locked="0"/>
    </xf>
    <xf numFmtId="0" fontId="13" fillId="37" borderId="47" xfId="0" applyFont="1" applyFill="1" applyBorder="1" applyAlignment="1" applyProtection="1">
      <alignment horizontal="center"/>
      <protection hidden="1" locked="0"/>
    </xf>
    <xf numFmtId="0" fontId="13" fillId="42" borderId="16" xfId="0" applyFont="1" applyFill="1" applyBorder="1" applyAlignment="1" applyProtection="1">
      <alignment horizontal="center"/>
      <protection hidden="1" locked="0"/>
    </xf>
    <xf numFmtId="190" fontId="13" fillId="42" borderId="10" xfId="0" applyNumberFormat="1" applyFont="1" applyFill="1" applyBorder="1" applyAlignment="1" applyProtection="1">
      <alignment horizontal="center"/>
      <protection hidden="1" locked="0"/>
    </xf>
    <xf numFmtId="190" fontId="13" fillId="42" borderId="10" xfId="0" applyNumberFormat="1" applyFont="1" applyFill="1" applyBorder="1" applyAlignment="1" applyProtection="1">
      <alignment horizontal="center"/>
      <protection hidden="1"/>
    </xf>
    <xf numFmtId="190" fontId="8" fillId="0" borderId="10" xfId="0" applyNumberFormat="1" applyFont="1" applyBorder="1" applyAlignment="1" applyProtection="1">
      <alignment horizontal="center"/>
      <protection hidden="1" locked="0"/>
    </xf>
    <xf numFmtId="0" fontId="13" fillId="34" borderId="18" xfId="0" applyFont="1" applyFill="1" applyBorder="1" applyAlignment="1" applyProtection="1">
      <alignment horizontal="center"/>
      <protection hidden="1" locked="0"/>
    </xf>
    <xf numFmtId="0" fontId="13" fillId="34" borderId="19" xfId="0" applyFont="1" applyFill="1" applyBorder="1" applyAlignment="1" applyProtection="1">
      <alignment horizontal="center"/>
      <protection hidden="1" locked="0"/>
    </xf>
    <xf numFmtId="0" fontId="13" fillId="34" borderId="15" xfId="0" applyFont="1" applyFill="1" applyBorder="1" applyAlignment="1" applyProtection="1">
      <alignment horizontal="center"/>
      <protection hidden="1" locked="0"/>
    </xf>
    <xf numFmtId="0" fontId="13" fillId="34" borderId="11" xfId="0" applyFont="1" applyFill="1" applyBorder="1" applyAlignment="1" applyProtection="1">
      <alignment horizontal="center"/>
      <protection hidden="1" locked="0"/>
    </xf>
    <xf numFmtId="0" fontId="13" fillId="34" borderId="20" xfId="0" applyFont="1" applyFill="1" applyBorder="1" applyAlignment="1" applyProtection="1">
      <alignment horizontal="center"/>
      <protection hidden="1" locked="0"/>
    </xf>
    <xf numFmtId="0" fontId="13" fillId="37" borderId="18" xfId="0" applyFont="1" applyFill="1" applyBorder="1" applyAlignment="1" applyProtection="1">
      <alignment horizontal="center"/>
      <protection hidden="1" locked="0"/>
    </xf>
    <xf numFmtId="0" fontId="13" fillId="37" borderId="19" xfId="0" applyFont="1" applyFill="1" applyBorder="1" applyAlignment="1" applyProtection="1">
      <alignment horizontal="center"/>
      <protection hidden="1" locked="0"/>
    </xf>
    <xf numFmtId="0" fontId="13" fillId="37" borderId="20" xfId="0" applyFont="1" applyFill="1" applyBorder="1" applyAlignment="1" applyProtection="1">
      <alignment horizontal="center"/>
      <protection hidden="1" locked="0"/>
    </xf>
    <xf numFmtId="0" fontId="13" fillId="37" borderId="53" xfId="0" applyFont="1" applyFill="1" applyBorder="1" applyAlignment="1" applyProtection="1">
      <alignment horizontal="center"/>
      <protection hidden="1" locked="0"/>
    </xf>
    <xf numFmtId="0" fontId="13" fillId="38" borderId="29" xfId="0" applyFont="1" applyFill="1" applyBorder="1" applyAlignment="1" applyProtection="1">
      <alignment horizontal="center"/>
      <protection hidden="1" locked="0"/>
    </xf>
    <xf numFmtId="0" fontId="13" fillId="38" borderId="30" xfId="0" applyFont="1" applyFill="1" applyBorder="1" applyAlignment="1" applyProtection="1">
      <alignment horizontal="center"/>
      <protection hidden="1" locked="0"/>
    </xf>
    <xf numFmtId="0" fontId="13" fillId="38" borderId="54" xfId="0" applyFont="1" applyFill="1" applyBorder="1" applyAlignment="1" applyProtection="1">
      <alignment horizontal="center"/>
      <protection hidden="1" locked="0"/>
    </xf>
    <xf numFmtId="0" fontId="13" fillId="42" borderId="55" xfId="0" applyFont="1" applyFill="1" applyBorder="1" applyAlignment="1" applyProtection="1">
      <alignment horizontal="center"/>
      <protection hidden="1" locked="0"/>
    </xf>
    <xf numFmtId="0" fontId="13" fillId="34" borderId="29" xfId="0" applyFont="1" applyFill="1" applyBorder="1" applyAlignment="1" applyProtection="1">
      <alignment horizontal="center"/>
      <protection hidden="1" locked="0"/>
    </xf>
    <xf numFmtId="0" fontId="13" fillId="34" borderId="30" xfId="0" applyFont="1" applyFill="1" applyBorder="1" applyAlignment="1" applyProtection="1">
      <alignment horizontal="center"/>
      <protection hidden="1" locked="0"/>
    </xf>
    <xf numFmtId="0" fontId="13" fillId="34" borderId="54" xfId="0" applyFont="1" applyFill="1" applyBorder="1" applyAlignment="1" applyProtection="1">
      <alignment horizontal="center"/>
      <protection hidden="1" locked="0"/>
    </xf>
    <xf numFmtId="0" fontId="13" fillId="42" borderId="56" xfId="0" applyFont="1" applyFill="1" applyBorder="1" applyAlignment="1" applyProtection="1">
      <alignment horizontal="center"/>
      <protection hidden="1" locked="0"/>
    </xf>
    <xf numFmtId="0" fontId="13" fillId="42" borderId="23" xfId="0" applyFont="1" applyFill="1" applyBorder="1" applyAlignment="1" applyProtection="1">
      <alignment horizontal="center"/>
      <protection hidden="1" locked="0"/>
    </xf>
    <xf numFmtId="0" fontId="2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15" fontId="8" fillId="0" borderId="0" xfId="0" applyNumberFormat="1" applyFont="1" applyAlignment="1" applyProtection="1">
      <alignment horizontal="left"/>
      <protection hidden="1"/>
    </xf>
    <xf numFmtId="0" fontId="13" fillId="43" borderId="13" xfId="0" applyNumberFormat="1" applyFont="1" applyFill="1" applyBorder="1" applyAlignment="1" applyProtection="1">
      <alignment/>
      <protection hidden="1"/>
    </xf>
    <xf numFmtId="0" fontId="13" fillId="43" borderId="18" xfId="0" applyNumberFormat="1" applyFont="1" applyFill="1" applyBorder="1" applyAlignment="1" applyProtection="1">
      <alignment/>
      <protection hidden="1"/>
    </xf>
    <xf numFmtId="0" fontId="13" fillId="43" borderId="18" xfId="0" applyFont="1" applyFill="1" applyBorder="1" applyAlignment="1" applyProtection="1">
      <alignment horizontal="center"/>
      <protection hidden="1" locked="0"/>
    </xf>
    <xf numFmtId="0" fontId="13" fillId="43" borderId="14" xfId="0" applyNumberFormat="1" applyFont="1" applyFill="1" applyBorder="1" applyAlignment="1" applyProtection="1">
      <alignment/>
      <protection hidden="1"/>
    </xf>
    <xf numFmtId="0" fontId="13" fillId="43" borderId="19" xfId="0" applyNumberFormat="1" applyFont="1" applyFill="1" applyBorder="1" applyAlignment="1" applyProtection="1">
      <alignment/>
      <protection hidden="1"/>
    </xf>
    <xf numFmtId="0" fontId="13" fillId="43" borderId="19" xfId="0" applyFont="1" applyFill="1" applyBorder="1" applyAlignment="1" applyProtection="1">
      <alignment horizontal="center"/>
      <protection hidden="1" locked="0"/>
    </xf>
    <xf numFmtId="0" fontId="13" fillId="43" borderId="15" xfId="0" applyNumberFormat="1" applyFont="1" applyFill="1" applyBorder="1" applyAlignment="1" applyProtection="1">
      <alignment/>
      <protection hidden="1"/>
    </xf>
    <xf numFmtId="0" fontId="13" fillId="43" borderId="20" xfId="0" applyNumberFormat="1" applyFont="1" applyFill="1" applyBorder="1" applyAlignment="1" applyProtection="1">
      <alignment/>
      <protection hidden="1"/>
    </xf>
    <xf numFmtId="0" fontId="13" fillId="43" borderId="20" xfId="0" applyFont="1" applyFill="1" applyBorder="1" applyAlignment="1" applyProtection="1">
      <alignment horizontal="center"/>
      <protection hidden="1" locked="0"/>
    </xf>
    <xf numFmtId="0" fontId="13" fillId="43" borderId="57" xfId="0" applyNumberFormat="1" applyFont="1" applyFill="1" applyBorder="1" applyAlignment="1" applyProtection="1">
      <alignment/>
      <protection hidden="1"/>
    </xf>
    <xf numFmtId="0" fontId="13" fillId="43" borderId="58" xfId="0" applyNumberFormat="1" applyFont="1" applyFill="1" applyBorder="1" applyAlignment="1" applyProtection="1">
      <alignment/>
      <protection hidden="1"/>
    </xf>
    <xf numFmtId="0" fontId="13" fillId="43" borderId="54" xfId="0" applyNumberFormat="1" applyFont="1" applyFill="1" applyBorder="1" applyAlignment="1" applyProtection="1">
      <alignment/>
      <protection hidden="1"/>
    </xf>
    <xf numFmtId="0" fontId="13" fillId="43" borderId="27" xfId="0" applyFont="1" applyFill="1" applyBorder="1" applyAlignment="1" applyProtection="1">
      <alignment/>
      <protection hidden="1"/>
    </xf>
    <xf numFmtId="0" fontId="13" fillId="43" borderId="59" xfId="0" applyNumberFormat="1" applyFont="1" applyFill="1" applyBorder="1" applyAlignment="1" applyProtection="1">
      <alignment/>
      <protection hidden="1"/>
    </xf>
    <xf numFmtId="0" fontId="13" fillId="43" borderId="21" xfId="0" applyNumberFormat="1" applyFont="1" applyFill="1" applyBorder="1" applyAlignment="1" applyProtection="1">
      <alignment/>
      <protection hidden="1"/>
    </xf>
    <xf numFmtId="0" fontId="13" fillId="43" borderId="59" xfId="0" applyFont="1" applyFill="1" applyBorder="1" applyAlignment="1" applyProtection="1">
      <alignment horizontal="center"/>
      <protection hidden="1" locked="0"/>
    </xf>
    <xf numFmtId="0" fontId="13" fillId="43" borderId="60" xfId="0" applyFont="1" applyFill="1" applyBorder="1" applyAlignment="1" applyProtection="1">
      <alignment horizontal="center"/>
      <protection hidden="1" locked="0"/>
    </xf>
    <xf numFmtId="0" fontId="13" fillId="43" borderId="12" xfId="0" applyFont="1" applyFill="1" applyBorder="1" applyAlignment="1" applyProtection="1">
      <alignment horizontal="center"/>
      <protection hidden="1" locked="0"/>
    </xf>
    <xf numFmtId="0" fontId="13" fillId="43" borderId="29" xfId="0" applyFont="1" applyFill="1" applyBorder="1" applyAlignment="1" applyProtection="1">
      <alignment horizontal="center"/>
      <protection hidden="1" locked="0"/>
    </xf>
    <xf numFmtId="0" fontId="13" fillId="43" borderId="11" xfId="0" applyFont="1" applyFill="1" applyBorder="1" applyAlignment="1" applyProtection="1">
      <alignment horizontal="center"/>
      <protection hidden="1" locked="0"/>
    </xf>
    <xf numFmtId="0" fontId="13" fillId="43" borderId="54" xfId="0" applyFont="1" applyFill="1" applyBorder="1" applyAlignment="1" applyProtection="1">
      <alignment horizontal="center"/>
      <protection hidden="1" locked="0"/>
    </xf>
    <xf numFmtId="0" fontId="13" fillId="43" borderId="30" xfId="0" applyFont="1" applyFill="1" applyBorder="1" applyAlignment="1" applyProtection="1">
      <alignment horizontal="center"/>
      <protection hidden="1" locked="0"/>
    </xf>
    <xf numFmtId="0" fontId="13" fillId="43" borderId="21" xfId="0" applyFont="1" applyFill="1" applyBorder="1" applyAlignment="1" applyProtection="1">
      <alignment horizontal="center"/>
      <protection hidden="1" locked="0"/>
    </xf>
    <xf numFmtId="0" fontId="13" fillId="43" borderId="10" xfId="0" applyFont="1" applyFill="1" applyBorder="1" applyAlignment="1" applyProtection="1">
      <alignment horizontal="center"/>
      <protection hidden="1" locked="0"/>
    </xf>
    <xf numFmtId="0" fontId="13" fillId="43" borderId="13" xfId="0" applyFont="1" applyFill="1" applyBorder="1" applyAlignment="1" applyProtection="1">
      <alignment horizontal="center"/>
      <protection hidden="1" locked="0"/>
    </xf>
    <xf numFmtId="0" fontId="13" fillId="43" borderId="14" xfId="0" applyFont="1" applyFill="1" applyBorder="1" applyAlignment="1" applyProtection="1">
      <alignment horizontal="center"/>
      <protection hidden="1" locked="0"/>
    </xf>
    <xf numFmtId="0" fontId="13" fillId="43" borderId="15" xfId="0" applyFont="1" applyFill="1" applyBorder="1" applyAlignment="1" applyProtection="1">
      <alignment horizontal="center"/>
      <protection hidden="1" locked="0"/>
    </xf>
    <xf numFmtId="0" fontId="13" fillId="43" borderId="61" xfId="0" applyFont="1" applyFill="1" applyBorder="1" applyAlignment="1" applyProtection="1">
      <alignment horizontal="center"/>
      <protection hidden="1" locked="0"/>
    </xf>
    <xf numFmtId="190" fontId="8" fillId="0" borderId="0" xfId="0" applyNumberFormat="1" applyFont="1" applyBorder="1" applyAlignment="1" applyProtection="1">
      <alignment horizontal="center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2" fontId="0" fillId="0" borderId="29" xfId="0" applyNumberFormat="1" applyBorder="1" applyAlignment="1" applyProtection="1">
      <alignment/>
      <protection hidden="1"/>
    </xf>
    <xf numFmtId="2" fontId="0" fillId="0" borderId="30" xfId="0" applyNumberFormat="1" applyBorder="1" applyAlignment="1" applyProtection="1">
      <alignment/>
      <protection hidden="1"/>
    </xf>
    <xf numFmtId="2" fontId="0" fillId="0" borderId="54" xfId="0" applyNumberFormat="1" applyBorder="1" applyAlignment="1" applyProtection="1">
      <alignment/>
      <protection hidden="1"/>
    </xf>
    <xf numFmtId="193" fontId="0" fillId="0" borderId="10" xfId="0" applyNumberFormat="1" applyBorder="1" applyAlignment="1" applyProtection="1">
      <alignment/>
      <protection hidden="1"/>
    </xf>
    <xf numFmtId="0" fontId="23" fillId="33" borderId="0" xfId="0" applyFont="1" applyFill="1" applyBorder="1" applyAlignment="1">
      <alignment horizontal="center" vertical="center" wrapText="1"/>
    </xf>
    <xf numFmtId="0" fontId="0" fillId="36" borderId="59" xfId="0" applyFill="1" applyBorder="1" applyAlignment="1" applyProtection="1">
      <alignment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36" borderId="60" xfId="0" applyFill="1" applyBorder="1" applyAlignment="1" applyProtection="1">
      <alignment/>
      <protection hidden="1"/>
    </xf>
    <xf numFmtId="193" fontId="0" fillId="0" borderId="12" xfId="0" applyNumberFormat="1" applyBorder="1" applyAlignment="1" applyProtection="1">
      <alignment/>
      <protection hidden="1"/>
    </xf>
    <xf numFmtId="191" fontId="0" fillId="0" borderId="18" xfId="0" applyNumberFormat="1" applyBorder="1" applyAlignment="1" applyProtection="1">
      <alignment/>
      <protection hidden="1"/>
    </xf>
    <xf numFmtId="191" fontId="0" fillId="0" borderId="19" xfId="0" applyNumberFormat="1" applyBorder="1" applyAlignment="1" applyProtection="1">
      <alignment/>
      <protection hidden="1"/>
    </xf>
    <xf numFmtId="193" fontId="0" fillId="0" borderId="11" xfId="0" applyNumberFormat="1" applyBorder="1" applyAlignment="1" applyProtection="1">
      <alignment/>
      <protection hidden="1"/>
    </xf>
    <xf numFmtId="191" fontId="0" fillId="0" borderId="20" xfId="0" applyNumberFormat="1" applyBorder="1" applyAlignment="1" applyProtection="1">
      <alignment/>
      <protection hidden="1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 applyProtection="1">
      <alignment/>
      <protection/>
    </xf>
    <xf numFmtId="0" fontId="24" fillId="0" borderId="0" xfId="0" applyFont="1" applyAlignment="1">
      <alignment horizontal="center" readingOrder="1"/>
    </xf>
    <xf numFmtId="0" fontId="25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1" fillId="0" borderId="42" xfId="0" applyFont="1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194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18" fillId="0" borderId="62" xfId="0" applyFont="1" applyBorder="1" applyAlignment="1" applyProtection="1">
      <alignment horizontal="center" textRotation="90"/>
      <protection hidden="1"/>
    </xf>
    <xf numFmtId="0" fontId="20" fillId="0" borderId="62" xfId="0" applyFont="1" applyBorder="1" applyAlignment="1">
      <alignment horizontal="center" textRotation="90"/>
    </xf>
    <xf numFmtId="0" fontId="21" fillId="0" borderId="0" xfId="0" applyFont="1" applyAlignment="1" applyProtection="1">
      <alignment horizontal="center" textRotation="90"/>
      <protection hidden="1"/>
    </xf>
    <xf numFmtId="181" fontId="1" fillId="0" borderId="54" xfId="0" applyNumberFormat="1" applyFont="1" applyBorder="1" applyAlignment="1" applyProtection="1">
      <alignment horizontal="center"/>
      <protection hidden="1" locked="0"/>
    </xf>
    <xf numFmtId="181" fontId="1" fillId="0" borderId="63" xfId="0" applyNumberFormat="1" applyFont="1" applyBorder="1" applyAlignment="1" applyProtection="1">
      <alignment horizontal="center"/>
      <protection hidden="1" locked="0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29" xfId="0" applyFont="1" applyBorder="1" applyAlignment="1" applyProtection="1">
      <alignment/>
      <protection hidden="1" locked="0"/>
    </xf>
    <xf numFmtId="0" fontId="0" fillId="0" borderId="64" xfId="0" applyBorder="1" applyAlignment="1" applyProtection="1">
      <alignment/>
      <protection hidden="1" locked="0"/>
    </xf>
    <xf numFmtId="0" fontId="1" fillId="0" borderId="30" xfId="0" applyFont="1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15" fontId="1" fillId="0" borderId="30" xfId="0" applyNumberFormat="1" applyFont="1" applyBorder="1" applyAlignment="1" applyProtection="1">
      <alignment/>
      <protection hidden="1" locked="0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11" fillId="0" borderId="0" xfId="0" applyNumberFormat="1" applyFont="1" applyAlignment="1">
      <alignment horizontal="center"/>
    </xf>
    <xf numFmtId="1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" fillId="0" borderId="30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3" fillId="43" borderId="15" xfId="0" applyFont="1" applyFill="1" applyBorder="1" applyAlignment="1" applyProtection="1">
      <alignment horizontal="center"/>
      <protection hidden="1"/>
    </xf>
    <xf numFmtId="0" fontId="13" fillId="43" borderId="54" xfId="0" applyFont="1" applyFill="1" applyBorder="1" applyAlignment="1" applyProtection="1">
      <alignment horizontal="center"/>
      <protection hidden="1"/>
    </xf>
    <xf numFmtId="0" fontId="13" fillId="43" borderId="61" xfId="0" applyFont="1" applyFill="1" applyBorder="1" applyAlignment="1" applyProtection="1">
      <alignment horizontal="center"/>
      <protection hidden="1"/>
    </xf>
    <xf numFmtId="0" fontId="13" fillId="43" borderId="60" xfId="0" applyFont="1" applyFill="1" applyBorder="1" applyAlignment="1" applyProtection="1">
      <alignment horizontal="center"/>
      <protection hidden="1"/>
    </xf>
    <xf numFmtId="0" fontId="13" fillId="42" borderId="16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91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63"/>
      </font>
      <fill>
        <patternFill>
          <bgColor indexed="63"/>
        </patternFill>
      </fill>
    </dxf>
    <dxf>
      <fill>
        <patternFill>
          <bgColor indexed="51"/>
        </patternFill>
      </fill>
    </dxf>
    <dxf>
      <font>
        <color indexed="63"/>
      </font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10"/>
        </patternFill>
      </fill>
    </dxf>
    <dxf>
      <fill>
        <patternFill>
          <bgColor indexed="63"/>
        </patternFill>
      </fill>
    </dxf>
    <dxf/>
    <dxf>
      <fill>
        <patternFill>
          <bgColor indexed="10"/>
        </patternFill>
      </fill>
    </dxf>
    <dxf>
      <fill>
        <patternFill>
          <bgColor indexed="63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409575</xdr:colOff>
      <xdr:row>6</xdr:row>
      <xdr:rowOff>123825</xdr:rowOff>
    </xdr:from>
    <xdr:to>
      <xdr:col>12</xdr:col>
      <xdr:colOff>485775</xdr:colOff>
      <xdr:row>10</xdr:row>
      <xdr:rowOff>0</xdr:rowOff>
    </xdr:to>
    <xdr:sp macro="[0]!Modul9.Spielerübernahme">
      <xdr:nvSpPr>
        <xdr:cNvPr id="1" name="Text Box 6"/>
        <xdr:cNvSpPr txBox="1">
          <a:spLocks noChangeArrowheads="1"/>
        </xdr:cNvSpPr>
      </xdr:nvSpPr>
      <xdr:spPr>
        <a:xfrm>
          <a:off x="4457700" y="1095375"/>
          <a:ext cx="1600200" cy="523875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Spieler in Spielplan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übernehmen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15</xdr:col>
      <xdr:colOff>676275</xdr:colOff>
      <xdr:row>18</xdr:row>
      <xdr:rowOff>0</xdr:rowOff>
    </xdr:from>
    <xdr:to>
      <xdr:col>24</xdr:col>
      <xdr:colOff>247650</xdr:colOff>
      <xdr:row>19</xdr:row>
      <xdr:rowOff>123825</xdr:rowOff>
    </xdr:to>
    <xdr:sp macro="[0]!Makro2">
      <xdr:nvSpPr>
        <xdr:cNvPr id="1" name="Rectangle 1"/>
        <xdr:cNvSpPr>
          <a:spLocks/>
        </xdr:cNvSpPr>
      </xdr:nvSpPr>
      <xdr:spPr>
        <a:xfrm>
          <a:off x="8829675" y="3533775"/>
          <a:ext cx="1371600" cy="323850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Auslosung</a:t>
          </a:r>
        </a:p>
      </xdr:txBody>
    </xdr:sp>
    <xdr:clientData fPrintsWithSheet="0"/>
  </xdr:twoCellAnchor>
  <xdr:twoCellAnchor editAs="absolute">
    <xdr:from>
      <xdr:col>12</xdr:col>
      <xdr:colOff>238125</xdr:colOff>
      <xdr:row>25</xdr:row>
      <xdr:rowOff>47625</xdr:rowOff>
    </xdr:from>
    <xdr:to>
      <xdr:col>15</xdr:col>
      <xdr:colOff>676275</xdr:colOff>
      <xdr:row>27</xdr:row>
      <xdr:rowOff>76200</xdr:rowOff>
    </xdr:to>
    <xdr:sp macro="[0]!Makro5">
      <xdr:nvSpPr>
        <xdr:cNvPr id="2" name="Text Box 3"/>
        <xdr:cNvSpPr txBox="1">
          <a:spLocks noChangeArrowheads="1"/>
        </xdr:cNvSpPr>
      </xdr:nvSpPr>
      <xdr:spPr>
        <a:xfrm>
          <a:off x="7219950" y="4972050"/>
          <a:ext cx="1609725" cy="409575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Spielplan anpassen auf 14.1 endlos</a:t>
          </a:r>
        </a:p>
      </xdr:txBody>
    </xdr:sp>
    <xdr:clientData/>
  </xdr:twoCellAnchor>
  <xdr:twoCellAnchor editAs="absolute">
    <xdr:from>
      <xdr:col>12</xdr:col>
      <xdr:colOff>247650</xdr:colOff>
      <xdr:row>27</xdr:row>
      <xdr:rowOff>180975</xdr:rowOff>
    </xdr:from>
    <xdr:to>
      <xdr:col>15</xdr:col>
      <xdr:colOff>676275</xdr:colOff>
      <xdr:row>30</xdr:row>
      <xdr:rowOff>0</xdr:rowOff>
    </xdr:to>
    <xdr:sp macro="[0]!Makro6">
      <xdr:nvSpPr>
        <xdr:cNvPr id="3" name="Text Box 4"/>
        <xdr:cNvSpPr txBox="1">
          <a:spLocks noChangeArrowheads="1"/>
        </xdr:cNvSpPr>
      </xdr:nvSpPr>
      <xdr:spPr>
        <a:xfrm>
          <a:off x="7229475" y="5486400"/>
          <a:ext cx="1600200" cy="390525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Spielplan anpassen auf 8/9-Ball</a:t>
          </a:r>
        </a:p>
      </xdr:txBody>
    </xdr:sp>
    <xdr:clientData/>
  </xdr:twoCellAnchor>
  <xdr:twoCellAnchor editAs="absolute">
    <xdr:from>
      <xdr:col>12</xdr:col>
      <xdr:colOff>257175</xdr:colOff>
      <xdr:row>30</xdr:row>
      <xdr:rowOff>95250</xdr:rowOff>
    </xdr:from>
    <xdr:to>
      <xdr:col>15</xdr:col>
      <xdr:colOff>685800</xdr:colOff>
      <xdr:row>32</xdr:row>
      <xdr:rowOff>114300</xdr:rowOff>
    </xdr:to>
    <xdr:sp macro="[0]!Makro7">
      <xdr:nvSpPr>
        <xdr:cNvPr id="4" name="Text Box 5"/>
        <xdr:cNvSpPr txBox="1">
          <a:spLocks noChangeArrowheads="1"/>
        </xdr:cNvSpPr>
      </xdr:nvSpPr>
      <xdr:spPr>
        <a:xfrm>
          <a:off x="7239000" y="5972175"/>
          <a:ext cx="1600200" cy="400050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Auslosung und Ergebn. löschen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771525</xdr:colOff>
      <xdr:row>96</xdr:row>
      <xdr:rowOff>57150</xdr:rowOff>
    </xdr:from>
    <xdr:to>
      <xdr:col>4</xdr:col>
      <xdr:colOff>647700</xdr:colOff>
      <xdr:row>100</xdr:row>
      <xdr:rowOff>66675</xdr:rowOff>
    </xdr:to>
    <xdr:sp macro="[0]!Makro1">
      <xdr:nvSpPr>
        <xdr:cNvPr id="1" name="Rectangle 2"/>
        <xdr:cNvSpPr>
          <a:spLocks/>
        </xdr:cNvSpPr>
      </xdr:nvSpPr>
      <xdr:spPr>
        <a:xfrm>
          <a:off x="1685925" y="13230225"/>
          <a:ext cx="1133475" cy="571500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Tabelle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aktualisieren</a:t>
          </a:r>
        </a:p>
      </xdr:txBody>
    </xdr:sp>
    <xdr:clientData/>
  </xdr:twoCellAnchor>
  <xdr:twoCellAnchor editAs="absolute">
    <xdr:from>
      <xdr:col>0</xdr:col>
      <xdr:colOff>76200</xdr:colOff>
      <xdr:row>0</xdr:row>
      <xdr:rowOff>57150</xdr:rowOff>
    </xdr:from>
    <xdr:to>
      <xdr:col>0</xdr:col>
      <xdr:colOff>333375</xdr:colOff>
      <xdr:row>63</xdr:row>
      <xdr:rowOff>0</xdr:rowOff>
    </xdr:to>
    <xdr:sp macro="[0]!Makro1">
      <xdr:nvSpPr>
        <xdr:cNvPr id="2" name="Rectangle 7"/>
        <xdr:cNvSpPr>
          <a:spLocks/>
        </xdr:cNvSpPr>
      </xdr:nvSpPr>
      <xdr:spPr>
        <a:xfrm>
          <a:off x="76200" y="57150"/>
          <a:ext cx="257175" cy="8420100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Tabelle aktualisieren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15</xdr:col>
      <xdr:colOff>657225</xdr:colOff>
      <xdr:row>5</xdr:row>
      <xdr:rowOff>123825</xdr:rowOff>
    </xdr:from>
    <xdr:to>
      <xdr:col>17</xdr:col>
      <xdr:colOff>714375</xdr:colOff>
      <xdr:row>12</xdr:row>
      <xdr:rowOff>47625</xdr:rowOff>
    </xdr:to>
    <xdr:sp macro="[0]!Makro1">
      <xdr:nvSpPr>
        <xdr:cNvPr id="1" name="Rectangle 1"/>
        <xdr:cNvSpPr>
          <a:spLocks/>
        </xdr:cNvSpPr>
      </xdr:nvSpPr>
      <xdr:spPr>
        <a:xfrm>
          <a:off x="7848600" y="990600"/>
          <a:ext cx="1581150" cy="1057275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aktualisieren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J43"/>
  <sheetViews>
    <sheetView zoomScalePageLayoutView="0" workbookViewId="0" topLeftCell="A3">
      <selection activeCell="B7" sqref="B7"/>
    </sheetView>
  </sheetViews>
  <sheetFormatPr defaultColWidth="11.421875" defaultRowHeight="12.75"/>
  <cols>
    <col min="1" max="1" width="4.421875" style="0" bestFit="1" customWidth="1"/>
    <col min="2" max="2" width="13.421875" style="0" bestFit="1" customWidth="1"/>
    <col min="3" max="3" width="8.8515625" style="0" bestFit="1" customWidth="1"/>
    <col min="4" max="4" width="11.8515625" style="0" bestFit="1" customWidth="1"/>
    <col min="5" max="5" width="17.421875" style="0" bestFit="1" customWidth="1"/>
    <col min="6" max="6" width="4.7109375" style="0" customWidth="1"/>
    <col min="7" max="10" width="11.421875" style="0" hidden="1" customWidth="1"/>
    <col min="11" max="11" width="11.421875" style="0" customWidth="1"/>
  </cols>
  <sheetData>
    <row r="1" spans="2:6" ht="12.75">
      <c r="B1" s="259" t="s">
        <v>156</v>
      </c>
      <c r="C1" s="259"/>
      <c r="D1" s="259"/>
      <c r="E1" s="259"/>
      <c r="F1" s="259"/>
    </row>
    <row r="2" spans="2:6" ht="12.75">
      <c r="B2" s="259" t="s">
        <v>157</v>
      </c>
      <c r="C2" s="259"/>
      <c r="D2" s="259"/>
      <c r="E2" s="259"/>
      <c r="F2" s="259"/>
    </row>
    <row r="3" spans="2:6" ht="12.75">
      <c r="B3" s="259" t="s">
        <v>158</v>
      </c>
      <c r="C3" s="259"/>
      <c r="D3" s="259"/>
      <c r="E3" s="259"/>
      <c r="F3" s="259"/>
    </row>
    <row r="4" spans="1:6" ht="12.75">
      <c r="A4" s="250"/>
      <c r="B4" s="251"/>
      <c r="C4" s="250"/>
      <c r="D4" s="250"/>
      <c r="E4" s="250"/>
      <c r="F4" s="250"/>
    </row>
    <row r="5" spans="1:6" ht="12.75">
      <c r="A5" s="250"/>
      <c r="B5" t="s">
        <v>159</v>
      </c>
      <c r="C5" t="s">
        <v>160</v>
      </c>
      <c r="D5" t="s">
        <v>161</v>
      </c>
      <c r="E5" t="s">
        <v>3</v>
      </c>
      <c r="F5" s="241"/>
    </row>
    <row r="6" spans="1:10" ht="12.75">
      <c r="A6" s="250">
        <v>1</v>
      </c>
      <c r="F6" s="250"/>
      <c r="G6" s="252">
        <f aca="true" t="shared" si="0" ref="G6:G37">IF(C6&amp;" "&amp;D6=" ","",C6&amp;" "&amp;D6)</f>
      </c>
      <c r="H6" s="252">
        <f aca="true" t="shared" si="1" ref="H6:H37">IF(E6="","",E6)</f>
      </c>
      <c r="I6" s="252"/>
      <c r="J6" s="252">
        <f aca="true" t="shared" si="2" ref="J6:J37">IF(B6="","",B6)</f>
      </c>
    </row>
    <row r="7" spans="1:10" ht="12.75">
      <c r="A7" s="250">
        <v>2</v>
      </c>
      <c r="F7" s="250"/>
      <c r="G7" s="252">
        <f t="shared" si="0"/>
      </c>
      <c r="H7" s="252">
        <f t="shared" si="1"/>
      </c>
      <c r="I7" s="252"/>
      <c r="J7" s="252">
        <f t="shared" si="2"/>
      </c>
    </row>
    <row r="8" spans="1:10" ht="12.75">
      <c r="A8" s="250">
        <v>3</v>
      </c>
      <c r="F8" s="250"/>
      <c r="G8" s="252">
        <f t="shared" si="0"/>
      </c>
      <c r="H8" s="252">
        <f t="shared" si="1"/>
      </c>
      <c r="I8" s="252"/>
      <c r="J8" s="252">
        <f t="shared" si="2"/>
      </c>
    </row>
    <row r="9" spans="1:10" ht="12.75">
      <c r="A9" s="250">
        <v>4</v>
      </c>
      <c r="F9" s="250"/>
      <c r="G9" s="252">
        <f t="shared" si="0"/>
      </c>
      <c r="H9" s="252">
        <f t="shared" si="1"/>
      </c>
      <c r="I9" s="252"/>
      <c r="J9" s="252">
        <f t="shared" si="2"/>
      </c>
    </row>
    <row r="10" spans="1:10" ht="12.75">
      <c r="A10" s="250">
        <v>5</v>
      </c>
      <c r="F10" s="250"/>
      <c r="G10" s="252">
        <f t="shared" si="0"/>
      </c>
      <c r="H10" s="252">
        <f t="shared" si="1"/>
      </c>
      <c r="I10" s="252"/>
      <c r="J10" s="252">
        <f t="shared" si="2"/>
      </c>
    </row>
    <row r="11" spans="1:10" ht="12.75">
      <c r="A11" s="250">
        <v>6</v>
      </c>
      <c r="F11" s="250"/>
      <c r="G11" s="252">
        <f t="shared" si="0"/>
      </c>
      <c r="H11" s="252">
        <f t="shared" si="1"/>
      </c>
      <c r="I11" s="252"/>
      <c r="J11" s="252">
        <f t="shared" si="2"/>
      </c>
    </row>
    <row r="12" spans="1:10" ht="12.75">
      <c r="A12" s="250">
        <v>7</v>
      </c>
      <c r="F12" s="250"/>
      <c r="G12" s="252">
        <f t="shared" si="0"/>
      </c>
      <c r="H12" s="252">
        <f t="shared" si="1"/>
      </c>
      <c r="I12" s="252"/>
      <c r="J12" s="252">
        <f t="shared" si="2"/>
      </c>
    </row>
    <row r="13" spans="1:10" ht="12.75">
      <c r="A13" s="250">
        <v>8</v>
      </c>
      <c r="F13" s="250"/>
      <c r="G13" s="252">
        <f t="shared" si="0"/>
      </c>
      <c r="H13" s="252">
        <f t="shared" si="1"/>
      </c>
      <c r="I13" s="252"/>
      <c r="J13" s="252">
        <f t="shared" si="2"/>
      </c>
    </row>
    <row r="14" spans="1:10" ht="12.75">
      <c r="A14" s="250">
        <v>9</v>
      </c>
      <c r="F14" s="250"/>
      <c r="G14" s="252">
        <f t="shared" si="0"/>
      </c>
      <c r="H14" s="252">
        <f t="shared" si="1"/>
      </c>
      <c r="I14" s="252"/>
      <c r="J14" s="252">
        <f t="shared" si="2"/>
      </c>
    </row>
    <row r="15" spans="1:10" ht="12.75">
      <c r="A15" s="250">
        <v>10</v>
      </c>
      <c r="F15" s="250"/>
      <c r="G15" s="252">
        <f t="shared" si="0"/>
      </c>
      <c r="H15" s="252">
        <f t="shared" si="1"/>
      </c>
      <c r="I15" s="252"/>
      <c r="J15" s="252">
        <f t="shared" si="2"/>
      </c>
    </row>
    <row r="16" spans="1:10" ht="12.75">
      <c r="A16" s="250">
        <v>11</v>
      </c>
      <c r="F16" s="250"/>
      <c r="G16" s="252">
        <f t="shared" si="0"/>
      </c>
      <c r="H16" s="252">
        <f t="shared" si="1"/>
      </c>
      <c r="I16" s="252"/>
      <c r="J16" s="252">
        <f t="shared" si="2"/>
      </c>
    </row>
    <row r="17" spans="1:10" ht="12.75">
      <c r="A17" s="250">
        <v>12</v>
      </c>
      <c r="F17" s="250"/>
      <c r="G17" s="252">
        <f t="shared" si="0"/>
      </c>
      <c r="H17" s="252">
        <f t="shared" si="1"/>
      </c>
      <c r="I17" s="252"/>
      <c r="J17" s="252">
        <f t="shared" si="2"/>
      </c>
    </row>
    <row r="18" spans="1:10" ht="12.75">
      <c r="A18" s="250">
        <v>13</v>
      </c>
      <c r="F18" s="250"/>
      <c r="G18" s="252">
        <f t="shared" si="0"/>
      </c>
      <c r="H18" s="252">
        <f t="shared" si="1"/>
      </c>
      <c r="I18" s="252"/>
      <c r="J18" s="252">
        <f t="shared" si="2"/>
      </c>
    </row>
    <row r="19" spans="1:10" ht="12.75">
      <c r="A19" s="250">
        <v>14</v>
      </c>
      <c r="F19" s="250"/>
      <c r="G19" s="252">
        <f t="shared" si="0"/>
      </c>
      <c r="H19" s="252">
        <f t="shared" si="1"/>
      </c>
      <c r="I19" s="252"/>
      <c r="J19" s="252">
        <f t="shared" si="2"/>
      </c>
    </row>
    <row r="20" spans="1:10" ht="12.75">
      <c r="A20" s="250">
        <v>15</v>
      </c>
      <c r="F20" s="250"/>
      <c r="G20" s="252">
        <f t="shared" si="0"/>
      </c>
      <c r="H20" s="252">
        <f t="shared" si="1"/>
      </c>
      <c r="I20" s="252"/>
      <c r="J20" s="252">
        <f t="shared" si="2"/>
      </c>
    </row>
    <row r="21" spans="1:10" ht="12.75">
      <c r="A21" s="250">
        <v>16</v>
      </c>
      <c r="F21" s="250"/>
      <c r="G21" s="252">
        <f t="shared" si="0"/>
      </c>
      <c r="H21" s="252">
        <f t="shared" si="1"/>
      </c>
      <c r="I21" s="252"/>
      <c r="J21" s="252">
        <f t="shared" si="2"/>
      </c>
    </row>
    <row r="22" spans="1:10" ht="12.75">
      <c r="A22" s="250">
        <v>17</v>
      </c>
      <c r="F22" s="250"/>
      <c r="G22" s="252">
        <f t="shared" si="0"/>
      </c>
      <c r="H22" s="252">
        <f t="shared" si="1"/>
      </c>
      <c r="I22" s="252"/>
      <c r="J22" s="252">
        <f t="shared" si="2"/>
      </c>
    </row>
    <row r="23" spans="1:10" ht="12.75">
      <c r="A23" s="250">
        <v>18</v>
      </c>
      <c r="F23" s="250"/>
      <c r="G23" s="252">
        <f t="shared" si="0"/>
      </c>
      <c r="H23" s="252">
        <f t="shared" si="1"/>
      </c>
      <c r="I23" s="252"/>
      <c r="J23" s="252">
        <f t="shared" si="2"/>
      </c>
    </row>
    <row r="24" spans="1:10" ht="12.75">
      <c r="A24" s="250">
        <v>19</v>
      </c>
      <c r="F24" s="250"/>
      <c r="G24" s="252">
        <f t="shared" si="0"/>
      </c>
      <c r="H24" s="252">
        <f t="shared" si="1"/>
      </c>
      <c r="I24" s="252"/>
      <c r="J24" s="252">
        <f t="shared" si="2"/>
      </c>
    </row>
    <row r="25" spans="1:10" ht="12.75">
      <c r="A25" s="250">
        <v>20</v>
      </c>
      <c r="F25" s="250"/>
      <c r="G25" s="252">
        <f t="shared" si="0"/>
      </c>
      <c r="H25" s="252">
        <f t="shared" si="1"/>
      </c>
      <c r="I25" s="252"/>
      <c r="J25" s="252">
        <f t="shared" si="2"/>
      </c>
    </row>
    <row r="26" spans="1:10" ht="12.75">
      <c r="A26" s="250">
        <v>21</v>
      </c>
      <c r="F26" s="250"/>
      <c r="G26" s="252">
        <f t="shared" si="0"/>
      </c>
      <c r="H26" s="252">
        <f t="shared" si="1"/>
      </c>
      <c r="I26" s="252"/>
      <c r="J26" s="252">
        <f t="shared" si="2"/>
      </c>
    </row>
    <row r="27" spans="1:10" ht="12.75">
      <c r="A27" s="250">
        <v>22</v>
      </c>
      <c r="F27" s="250"/>
      <c r="G27" s="252">
        <f t="shared" si="0"/>
      </c>
      <c r="H27" s="252">
        <f t="shared" si="1"/>
      </c>
      <c r="I27" s="252"/>
      <c r="J27" s="252">
        <f t="shared" si="2"/>
      </c>
    </row>
    <row r="28" spans="1:10" ht="12.75">
      <c r="A28" s="250">
        <v>23</v>
      </c>
      <c r="F28" s="250"/>
      <c r="G28" s="252">
        <f t="shared" si="0"/>
      </c>
      <c r="H28" s="252">
        <f t="shared" si="1"/>
      </c>
      <c r="I28" s="252"/>
      <c r="J28" s="252">
        <f t="shared" si="2"/>
      </c>
    </row>
    <row r="29" spans="1:10" ht="12.75">
      <c r="A29" s="250">
        <v>24</v>
      </c>
      <c r="F29" s="250"/>
      <c r="G29" s="252">
        <f t="shared" si="0"/>
      </c>
      <c r="H29" s="252">
        <f t="shared" si="1"/>
      </c>
      <c r="I29" s="252"/>
      <c r="J29" s="252">
        <f t="shared" si="2"/>
      </c>
    </row>
    <row r="30" spans="1:10" ht="12.75">
      <c r="A30" s="250">
        <v>25</v>
      </c>
      <c r="F30" s="250"/>
      <c r="G30" s="252">
        <f t="shared" si="0"/>
      </c>
      <c r="H30" s="252">
        <f t="shared" si="1"/>
      </c>
      <c r="I30" s="252"/>
      <c r="J30" s="252">
        <f t="shared" si="2"/>
      </c>
    </row>
    <row r="31" spans="1:10" ht="12.75">
      <c r="A31" s="250">
        <v>26</v>
      </c>
      <c r="F31" s="250"/>
      <c r="G31" s="252">
        <f t="shared" si="0"/>
      </c>
      <c r="H31" s="252">
        <f t="shared" si="1"/>
      </c>
      <c r="I31" s="252"/>
      <c r="J31" s="252">
        <f t="shared" si="2"/>
      </c>
    </row>
    <row r="32" spans="1:10" ht="12.75">
      <c r="A32" s="250">
        <v>27</v>
      </c>
      <c r="F32" s="250"/>
      <c r="G32" s="252">
        <f t="shared" si="0"/>
      </c>
      <c r="H32" s="252">
        <f t="shared" si="1"/>
      </c>
      <c r="I32" s="252"/>
      <c r="J32" s="252">
        <f t="shared" si="2"/>
      </c>
    </row>
    <row r="33" spans="1:10" ht="12.75">
      <c r="A33" s="250">
        <v>28</v>
      </c>
      <c r="F33" s="250"/>
      <c r="G33" s="252">
        <f t="shared" si="0"/>
      </c>
      <c r="H33" s="252">
        <f t="shared" si="1"/>
      </c>
      <c r="I33" s="252"/>
      <c r="J33" s="252">
        <f t="shared" si="2"/>
      </c>
    </row>
    <row r="34" spans="1:10" ht="12.75">
      <c r="A34" s="250">
        <v>29</v>
      </c>
      <c r="F34" s="250"/>
      <c r="G34" s="252">
        <f t="shared" si="0"/>
      </c>
      <c r="H34" s="252">
        <f t="shared" si="1"/>
      </c>
      <c r="I34" s="252"/>
      <c r="J34" s="252">
        <f t="shared" si="2"/>
      </c>
    </row>
    <row r="35" spans="1:10" ht="12.75">
      <c r="A35" s="250">
        <v>30</v>
      </c>
      <c r="F35" s="250"/>
      <c r="G35" s="252">
        <f t="shared" si="0"/>
      </c>
      <c r="H35" s="252">
        <f t="shared" si="1"/>
      </c>
      <c r="I35" s="252"/>
      <c r="J35" s="252">
        <f t="shared" si="2"/>
      </c>
    </row>
    <row r="36" spans="1:10" ht="12.75">
      <c r="A36" s="250">
        <v>31</v>
      </c>
      <c r="F36" s="250"/>
      <c r="G36" s="252">
        <f t="shared" si="0"/>
      </c>
      <c r="H36" s="252">
        <f t="shared" si="1"/>
      </c>
      <c r="I36" s="252"/>
      <c r="J36" s="252">
        <f t="shared" si="2"/>
      </c>
    </row>
    <row r="37" spans="1:10" ht="12.75">
      <c r="A37" s="250">
        <v>32</v>
      </c>
      <c r="F37" s="250"/>
      <c r="G37" s="252">
        <f t="shared" si="0"/>
      </c>
      <c r="H37" s="252">
        <f t="shared" si="1"/>
      </c>
      <c r="I37" s="252"/>
      <c r="J37" s="252">
        <f t="shared" si="2"/>
      </c>
    </row>
    <row r="38" spans="1:6" ht="12.75">
      <c r="A38" s="250"/>
      <c r="B38" s="250"/>
      <c r="C38" s="250"/>
      <c r="D38" s="250"/>
      <c r="E38" s="250"/>
      <c r="F38" s="250"/>
    </row>
    <row r="43" ht="15.75">
      <c r="C43" s="253"/>
    </row>
  </sheetData>
  <sheetProtection/>
  <mergeCells count="3">
    <mergeCell ref="B1:F1"/>
    <mergeCell ref="B2:F2"/>
    <mergeCell ref="B3:F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7"/>
  <dimension ref="A1:W94"/>
  <sheetViews>
    <sheetView showGridLines="0" showOutlineSymbols="0" zoomScale="75" zoomScaleNormal="75" zoomScalePageLayoutView="0" workbookViewId="0" topLeftCell="A1">
      <selection activeCell="F9" sqref="F9:G40"/>
    </sheetView>
  </sheetViews>
  <sheetFormatPr defaultColWidth="9.140625" defaultRowHeight="12.75"/>
  <cols>
    <col min="1" max="1" width="9.140625" style="2" customWidth="1"/>
    <col min="2" max="2" width="4.8515625" style="2" customWidth="1"/>
    <col min="3" max="3" width="6.421875" style="2" hidden="1" customWidth="1"/>
    <col min="4" max="4" width="8.140625" style="2" hidden="1" customWidth="1"/>
    <col min="5" max="5" width="4.8515625" style="2" hidden="1" customWidth="1"/>
    <col min="6" max="6" width="28.00390625" style="2" customWidth="1"/>
    <col min="7" max="7" width="27.421875" style="2" customWidth="1"/>
    <col min="8" max="8" width="12.00390625" style="2" hidden="1" customWidth="1"/>
    <col min="9" max="9" width="11.140625" style="2" customWidth="1"/>
    <col min="10" max="11" width="9.140625" style="2" customWidth="1"/>
    <col min="12" max="12" width="5.8515625" style="2" customWidth="1"/>
    <col min="13" max="13" width="10.421875" style="2" customWidth="1"/>
    <col min="14" max="14" width="9.140625" style="6" hidden="1" customWidth="1"/>
    <col min="15" max="15" width="7.140625" style="2" customWidth="1"/>
    <col min="16" max="16" width="17.8515625" style="2" bestFit="1" customWidth="1"/>
    <col min="17" max="17" width="9.140625" style="2" hidden="1" customWidth="1"/>
    <col min="18" max="18" width="10.7109375" style="2" hidden="1" customWidth="1"/>
    <col min="19" max="19" width="12.7109375" style="2" hidden="1" customWidth="1"/>
    <col min="20" max="23" width="9.140625" style="201" hidden="1" customWidth="1"/>
    <col min="24" max="16384" width="9.140625" style="2" customWidth="1"/>
  </cols>
  <sheetData>
    <row r="1" spans="1:10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 t="s">
        <v>53</v>
      </c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1" t="s">
        <v>54</v>
      </c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1" t="s">
        <v>178</v>
      </c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1" t="s">
        <v>47</v>
      </c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1" t="s">
        <v>1</v>
      </c>
      <c r="B6" s="1"/>
      <c r="C6" s="1"/>
      <c r="D6" s="1"/>
      <c r="E6" s="1"/>
      <c r="F6" s="1"/>
      <c r="G6" s="15" t="s">
        <v>179</v>
      </c>
      <c r="H6" s="1"/>
      <c r="I6" s="1"/>
      <c r="J6" s="1"/>
    </row>
    <row r="7" spans="1:10" ht="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3" ht="15.75">
      <c r="A8" s="260" t="s">
        <v>144</v>
      </c>
      <c r="B8" s="17"/>
      <c r="C8" s="17"/>
      <c r="D8" s="17"/>
      <c r="E8" s="17"/>
      <c r="F8" s="17" t="s">
        <v>2</v>
      </c>
      <c r="G8" s="17" t="s">
        <v>3</v>
      </c>
      <c r="H8" s="144" t="s">
        <v>132</v>
      </c>
      <c r="I8" s="17" t="s">
        <v>133</v>
      </c>
      <c r="J8" s="1"/>
      <c r="L8" s="17" t="s">
        <v>130</v>
      </c>
      <c r="M8" s="17"/>
      <c r="O8" s="262" t="s">
        <v>145</v>
      </c>
      <c r="P8" s="17" t="s">
        <v>134</v>
      </c>
      <c r="R8" s="2">
        <f>COUNTA(SP32!D3:E18)/2-COUNT(SP32!AQ3:AQ18)</f>
        <v>16</v>
      </c>
      <c r="S8" s="181" t="e">
        <f>IF(AND(R8&lt;=$P$11,R8&gt;0),1,R8/$P$11)*Auslosung_Turnierdaten!$S$21</f>
        <v>#DIV/0!</v>
      </c>
      <c r="T8" s="201" t="s">
        <v>38</v>
      </c>
      <c r="V8" s="201">
        <f>MAX(V9:V40)</f>
        <v>1</v>
      </c>
      <c r="W8" s="201">
        <f>MAX(W9:W24)</f>
        <v>0</v>
      </c>
    </row>
    <row r="9" spans="1:23" ht="15.75">
      <c r="A9" s="261"/>
      <c r="B9" s="17">
        <v>1</v>
      </c>
      <c r="C9" s="16">
        <f aca="true" ca="1" t="shared" si="0" ref="C9:C41">IF(OR(F9="",F9="Freilos"),1.01,RAND())</f>
        <v>0.9948537189810809</v>
      </c>
      <c r="D9" s="16" t="str">
        <f aca="true" t="shared" si="1" ref="D9:D41">IF(C9&lt;=1,F9,"Freilos")</f>
        <v>Kuloyants, Valery [34790]</v>
      </c>
      <c r="E9" s="16" t="s">
        <v>166</v>
      </c>
      <c r="F9" s="3" t="s">
        <v>181</v>
      </c>
      <c r="G9" s="3" t="s">
        <v>182</v>
      </c>
      <c r="H9" s="3"/>
      <c r="I9" s="3"/>
      <c r="J9" s="254" t="s">
        <v>93</v>
      </c>
      <c r="K9" s="255"/>
      <c r="L9" s="54">
        <v>1</v>
      </c>
      <c r="M9" s="140"/>
      <c r="N9" s="6">
        <f>IF(M9="","",IF(COUNTIF(SP32!$AO$3:$AO$62,M9)=1,"",M9&amp;"-"))</f>
      </c>
      <c r="O9" s="262"/>
      <c r="P9" s="181">
        <f>IF(COUNT(SP32!AR3:AR62)&gt;0,MIN(SP32!AR3:AR62),0)</f>
        <v>0.5136111111111111</v>
      </c>
      <c r="R9" s="2">
        <f>COUNTA(SP32!D19:E34)/2-COUNT(SP32!AQ19:AQ34)</f>
        <v>16</v>
      </c>
      <c r="S9" s="181" t="e">
        <f>IF(AND(R9&lt;=$P$11,R9&gt;0),1,R9/$P$11)*Auslosung_Turnierdaten!$S$21</f>
        <v>#DIV/0!</v>
      </c>
      <c r="T9" s="201" t="s">
        <v>138</v>
      </c>
      <c r="V9" s="201">
        <f>IF(OR(F9="",F9="Freilos"),0,COUNTIF(F$9:F$40,F9))</f>
        <v>1</v>
      </c>
      <c r="W9" s="201">
        <f>IF(M9="",0,COUNTIF(M$9:M$16,M9))</f>
        <v>0</v>
      </c>
    </row>
    <row r="10" spans="1:23" ht="15.75">
      <c r="A10" s="261"/>
      <c r="B10" s="17">
        <v>2</v>
      </c>
      <c r="C10" s="16">
        <f ca="1" t="shared" si="0"/>
        <v>0.17621633696802075</v>
      </c>
      <c r="D10" s="16" t="str">
        <f t="shared" si="1"/>
        <v>Höcht, Stefan [22445]</v>
      </c>
      <c r="E10" s="16" t="s">
        <v>170</v>
      </c>
      <c r="F10" s="3" t="s">
        <v>183</v>
      </c>
      <c r="G10" s="3" t="s">
        <v>184</v>
      </c>
      <c r="H10" s="3"/>
      <c r="I10" s="3"/>
      <c r="J10" s="254" t="s">
        <v>94</v>
      </c>
      <c r="K10" s="255"/>
      <c r="L10" s="54">
        <v>2</v>
      </c>
      <c r="M10" s="140"/>
      <c r="N10" s="6">
        <f>IF(M10="","",IF(COUNTIF(SP32!$AO$3:$AO$62,M10)=1,"",M10&amp;"-"))</f>
      </c>
      <c r="O10" s="262"/>
      <c r="P10" s="17" t="s">
        <v>135</v>
      </c>
      <c r="R10" s="2">
        <f>COUNTA(SP32!D35:E42)/2-COUNT(SP32!AQ35:AQ42)</f>
        <v>8</v>
      </c>
      <c r="S10" s="181" t="e">
        <f>IF(AND(R10&lt;=$P$11,R10&gt;0),1,R10/$P$11)*Auslosung_Turnierdaten!$S$21</f>
        <v>#DIV/0!</v>
      </c>
      <c r="T10" s="201" t="s">
        <v>41</v>
      </c>
      <c r="V10" s="201">
        <f aca="true" t="shared" si="2" ref="V10:V40">IF(OR(F10="",F10="Freilos"),0,COUNTIF(F$9:F$40,F10))</f>
        <v>1</v>
      </c>
      <c r="W10" s="201">
        <f aca="true" t="shared" si="3" ref="W10:W24">IF(M10="",0,COUNTIF(M$9:M$16,M10))</f>
        <v>0</v>
      </c>
    </row>
    <row r="11" spans="1:23" ht="15.75">
      <c r="A11" s="261"/>
      <c r="B11" s="17">
        <v>3</v>
      </c>
      <c r="C11" s="16">
        <f ca="1" t="shared" si="0"/>
        <v>0.08359552406442594</v>
      </c>
      <c r="D11" s="16" t="str">
        <f t="shared" si="1"/>
        <v>Schnürch, Martin [23070]</v>
      </c>
      <c r="E11" s="16" t="s">
        <v>177</v>
      </c>
      <c r="F11" s="3" t="s">
        <v>185</v>
      </c>
      <c r="G11" s="3" t="s">
        <v>186</v>
      </c>
      <c r="H11" s="3"/>
      <c r="I11" s="3"/>
      <c r="J11" s="254" t="s">
        <v>95</v>
      </c>
      <c r="K11" s="255"/>
      <c r="L11" s="54">
        <v>3</v>
      </c>
      <c r="M11" s="140"/>
      <c r="N11" s="6">
        <f>IF(M11="","",IF(COUNTIF(SP32!$AO$3:$AO$62,M11)=1,"",M11&amp;"-"))</f>
      </c>
      <c r="O11" s="262"/>
      <c r="P11" s="142">
        <f>IF((COUNTA(M9:M24))&gt;0,(COUNTA(M9:M24)),0)</f>
        <v>0</v>
      </c>
      <c r="R11" s="2">
        <f>COUNTA(SP32!D43:E50)/2-COUNT(SP32!AQ43:AQ50)</f>
        <v>8</v>
      </c>
      <c r="S11" s="181" t="e">
        <f>IF(AND(R11&lt;=$P$11,R11&gt;0),1,R11/$P$11)*Auslosung_Turnierdaten!$S$21</f>
        <v>#DIV/0!</v>
      </c>
      <c r="T11" s="201" t="s">
        <v>139</v>
      </c>
      <c r="V11" s="201">
        <f t="shared" si="2"/>
        <v>1</v>
      </c>
      <c r="W11" s="201">
        <f t="shared" si="3"/>
        <v>0</v>
      </c>
    </row>
    <row r="12" spans="1:23" ht="15.75">
      <c r="A12" s="261"/>
      <c r="B12" s="17">
        <v>4</v>
      </c>
      <c r="C12" s="16">
        <f ca="1" t="shared" si="0"/>
        <v>0.36356439784128103</v>
      </c>
      <c r="D12" s="16" t="str">
        <f t="shared" si="1"/>
        <v>Sohal, Tony [37510]</v>
      </c>
      <c r="E12" s="16" t="s">
        <v>165</v>
      </c>
      <c r="F12" s="3" t="s">
        <v>187</v>
      </c>
      <c r="G12" s="3" t="s">
        <v>188</v>
      </c>
      <c r="H12" s="3"/>
      <c r="I12" s="3"/>
      <c r="J12" s="254" t="s">
        <v>96</v>
      </c>
      <c r="K12" s="255"/>
      <c r="L12" s="54">
        <v>4</v>
      </c>
      <c r="M12" s="140"/>
      <c r="N12" s="6">
        <f>IF(M12="","",IF(COUNTIF(SP32!$AO$3:$AO$62,M12)=1,"",M12&amp;"-"))</f>
      </c>
      <c r="O12" s="262"/>
      <c r="P12" s="17" t="s">
        <v>136</v>
      </c>
      <c r="R12" s="2">
        <f>COUNTA(SP32!D51:E54)/2-COUNT(SP32!AQ51:AQ54)</f>
        <v>4</v>
      </c>
      <c r="S12" s="181" t="e">
        <f>IF(AND(R12&lt;=$P$11,R12&gt;0),1,R12/$P$11)*Auslosung_Turnierdaten!$S$21</f>
        <v>#DIV/0!</v>
      </c>
      <c r="T12" s="201" t="s">
        <v>43</v>
      </c>
      <c r="V12" s="201">
        <f t="shared" si="2"/>
        <v>1</v>
      </c>
      <c r="W12" s="201">
        <f t="shared" si="3"/>
        <v>0</v>
      </c>
    </row>
    <row r="13" spans="1:23" ht="15.75">
      <c r="A13" s="261"/>
      <c r="B13" s="17">
        <v>5</v>
      </c>
      <c r="C13" s="16">
        <f ca="1" t="shared" si="0"/>
        <v>0.543935464699139</v>
      </c>
      <c r="D13" s="16" t="str">
        <f t="shared" si="1"/>
        <v>Meister, Martin [19054]</v>
      </c>
      <c r="E13" s="16" t="s">
        <v>176</v>
      </c>
      <c r="F13" s="3" t="s">
        <v>189</v>
      </c>
      <c r="G13" s="3" t="s">
        <v>190</v>
      </c>
      <c r="H13" s="3"/>
      <c r="I13" s="3"/>
      <c r="J13" s="254" t="s">
        <v>97</v>
      </c>
      <c r="K13" s="255"/>
      <c r="L13" s="54">
        <v>5</v>
      </c>
      <c r="M13" s="140"/>
      <c r="N13" s="6">
        <f>IF(M13="","",IF(COUNTIF(SP32!$AO$3:$AO$62,M13)=1,"",M13&amp;"-"))</f>
      </c>
      <c r="O13" s="262"/>
      <c r="P13" s="142">
        <f>COUNTA(SP32!D3:E62)/2-COUNT(SP32!AQ3:AQ65)</f>
        <v>60</v>
      </c>
      <c r="R13" s="2">
        <f>COUNTA(SP32!D55:E58)/2-COUNT(SP32!AQ55:AQ58)</f>
        <v>4</v>
      </c>
      <c r="S13" s="181" t="e">
        <f>IF(AND(R13&lt;=$P$11,R13&gt;0),1,R13/$P$11)*Auslosung_Turnierdaten!$S$21</f>
        <v>#DIV/0!</v>
      </c>
      <c r="T13" s="201" t="s">
        <v>152</v>
      </c>
      <c r="V13" s="201">
        <f t="shared" si="2"/>
        <v>1</v>
      </c>
      <c r="W13" s="201">
        <f t="shared" si="3"/>
        <v>0</v>
      </c>
    </row>
    <row r="14" spans="1:23" ht="15.75">
      <c r="A14" s="261"/>
      <c r="B14" s="17">
        <v>6</v>
      </c>
      <c r="C14" s="16">
        <f ca="1" t="shared" si="0"/>
        <v>0.6695543738594056</v>
      </c>
      <c r="D14" s="16" t="str">
        <f t="shared" si="1"/>
        <v>Scholz, Jürgen [35124]</v>
      </c>
      <c r="E14" s="16" t="s">
        <v>163</v>
      </c>
      <c r="F14" s="3" t="s">
        <v>191</v>
      </c>
      <c r="G14" s="3" t="s">
        <v>188</v>
      </c>
      <c r="H14" s="3"/>
      <c r="I14" s="3"/>
      <c r="J14" s="254" t="s">
        <v>98</v>
      </c>
      <c r="K14" s="255"/>
      <c r="L14" s="54">
        <v>6</v>
      </c>
      <c r="M14" s="140"/>
      <c r="N14" s="6">
        <f>IF(M14="","",IF(COUNTIF(SP32!$AO$3:$AO$62,M14)=1,"",M14&amp;"-"))</f>
      </c>
      <c r="O14" s="262"/>
      <c r="P14" s="17" t="s">
        <v>137</v>
      </c>
      <c r="R14" s="2">
        <f>COUNTA(SP32!D59:E60)/2-COUNT(SP32!AQ59:AQ60)</f>
        <v>2</v>
      </c>
      <c r="S14" s="181" t="e">
        <f>IF(AND(R14&lt;=$P$11,R14&gt;0),1,R14/$P$11)*Auslosung_Turnierdaten!$S$21</f>
        <v>#DIV/0!</v>
      </c>
      <c r="T14" s="201" t="s">
        <v>151</v>
      </c>
      <c r="V14" s="201">
        <f t="shared" si="2"/>
        <v>1</v>
      </c>
      <c r="W14" s="201">
        <f t="shared" si="3"/>
        <v>0</v>
      </c>
    </row>
    <row r="15" spans="1:23" ht="15.75">
      <c r="A15" s="261"/>
      <c r="B15" s="17">
        <v>7</v>
      </c>
      <c r="C15" s="16">
        <f ca="1" t="shared" si="0"/>
        <v>0.7697107318885914</v>
      </c>
      <c r="D15" s="16" t="str">
        <f t="shared" si="1"/>
        <v>Voinescu, Florian [31589]</v>
      </c>
      <c r="E15" s="16" t="s">
        <v>171</v>
      </c>
      <c r="F15" s="3" t="s">
        <v>192</v>
      </c>
      <c r="G15" s="3" t="s">
        <v>190</v>
      </c>
      <c r="H15" s="3"/>
      <c r="I15" s="3"/>
      <c r="J15" s="254" t="s">
        <v>99</v>
      </c>
      <c r="K15" s="255"/>
      <c r="L15" s="54">
        <v>7</v>
      </c>
      <c r="M15" s="140"/>
      <c r="N15" s="6">
        <f>IF(M15="","",IF(COUNTIF(SP32!$AO$3:$AO$62,M15)=1,"",M15&amp;"-"))</f>
      </c>
      <c r="O15" s="262"/>
      <c r="P15" s="181">
        <f>MAX(S21:S22)</f>
        <v>0</v>
      </c>
      <c r="R15" s="2">
        <f>COUNTA(SP32!D61:E62)/2-COUNT(SP32!AQ61:AQ62)</f>
        <v>2</v>
      </c>
      <c r="S15" s="181" t="e">
        <f>IF(AND(R15&lt;=$P$11,R15&gt;0),1,R15/$P$11)*Auslosung_Turnierdaten!$S$21</f>
        <v>#DIV/0!</v>
      </c>
      <c r="T15" s="201" t="s">
        <v>150</v>
      </c>
      <c r="V15" s="201">
        <f t="shared" si="2"/>
        <v>1</v>
      </c>
      <c r="W15" s="201">
        <f t="shared" si="3"/>
        <v>0</v>
      </c>
    </row>
    <row r="16" spans="1:23" ht="15.75">
      <c r="A16" s="261"/>
      <c r="B16" s="17">
        <v>8</v>
      </c>
      <c r="C16" s="16">
        <f ca="1" t="shared" si="0"/>
        <v>0.07228071965795024</v>
      </c>
      <c r="D16" s="16" t="str">
        <f t="shared" si="1"/>
        <v>Au-Yeung, Michael [24627]</v>
      </c>
      <c r="E16" s="16" t="s">
        <v>175</v>
      </c>
      <c r="F16" s="3" t="s">
        <v>193</v>
      </c>
      <c r="G16" s="3" t="s">
        <v>182</v>
      </c>
      <c r="H16" s="3"/>
      <c r="I16" s="3"/>
      <c r="J16" s="254" t="s">
        <v>100</v>
      </c>
      <c r="K16" s="255"/>
      <c r="L16" s="54">
        <v>8</v>
      </c>
      <c r="M16" s="140"/>
      <c r="N16" s="6">
        <f>IF(M16="","",IF(COUNTIF(SP32!$AO$3:$AO$62,M16)=1,"",M16&amp;"-"))</f>
      </c>
      <c r="O16" s="262"/>
      <c r="P16" s="17" t="s">
        <v>140</v>
      </c>
      <c r="S16" s="232"/>
      <c r="V16" s="201">
        <f t="shared" si="2"/>
        <v>1</v>
      </c>
      <c r="W16" s="201">
        <f t="shared" si="3"/>
        <v>0</v>
      </c>
    </row>
    <row r="17" spans="1:23" ht="15.75">
      <c r="A17" s="261"/>
      <c r="B17" s="17">
        <v>9</v>
      </c>
      <c r="C17" s="16">
        <f ca="1" t="shared" si="0"/>
        <v>0.8451608905635126</v>
      </c>
      <c r="D17" s="16" t="str">
        <f t="shared" si="1"/>
        <v>Obermeier, Andreas [29213]</v>
      </c>
      <c r="E17" s="16" t="s">
        <v>173</v>
      </c>
      <c r="F17" s="3" t="s">
        <v>194</v>
      </c>
      <c r="G17" s="3" t="s">
        <v>195</v>
      </c>
      <c r="H17" s="3"/>
      <c r="I17" s="3"/>
      <c r="J17" s="254" t="s">
        <v>101</v>
      </c>
      <c r="K17" s="255"/>
      <c r="L17" s="54">
        <v>9</v>
      </c>
      <c r="M17" s="140"/>
      <c r="N17" s="6">
        <f>IF(M17="","",IF(COUNTIF(SP32!$AO$3:$AO$62,M17)=1,"",M17&amp;"-"))</f>
      </c>
      <c r="O17" s="262"/>
      <c r="P17" s="181">
        <f>IF(P11&gt;0,P9+S19,0)</f>
        <v>0</v>
      </c>
      <c r="S17" s="232"/>
      <c r="V17" s="201">
        <f t="shared" si="2"/>
        <v>1</v>
      </c>
      <c r="W17" s="201">
        <f t="shared" si="3"/>
        <v>0</v>
      </c>
    </row>
    <row r="18" spans="1:23" ht="15.75">
      <c r="A18" s="261"/>
      <c r="B18" s="17">
        <v>10</v>
      </c>
      <c r="C18" s="16">
        <f ca="1" t="shared" si="0"/>
        <v>0.5484092522678239</v>
      </c>
      <c r="D18" s="16" t="str">
        <f t="shared" si="1"/>
        <v>Fuchs, Reinhard [25179]</v>
      </c>
      <c r="E18" s="16" t="s">
        <v>162</v>
      </c>
      <c r="F18" s="3" t="s">
        <v>196</v>
      </c>
      <c r="G18" s="3" t="s">
        <v>197</v>
      </c>
      <c r="H18" s="3"/>
      <c r="I18" s="3"/>
      <c r="J18" s="254" t="s">
        <v>102</v>
      </c>
      <c r="K18" s="255"/>
      <c r="L18" s="54">
        <v>10</v>
      </c>
      <c r="M18" s="140"/>
      <c r="N18" s="6">
        <f>IF(M18="","",IF(COUNTIF(SP32!$AO$3:$AO$62,M18)=1,"",M18&amp;"-"))</f>
      </c>
      <c r="O18" s="262"/>
      <c r="S18" s="232"/>
      <c r="V18" s="201">
        <f t="shared" si="2"/>
        <v>1</v>
      </c>
      <c r="W18" s="201">
        <f t="shared" si="3"/>
        <v>0</v>
      </c>
    </row>
    <row r="19" spans="1:23" ht="15.75">
      <c r="A19" s="261"/>
      <c r="B19" s="17">
        <v>11</v>
      </c>
      <c r="C19" s="16">
        <f ca="1" t="shared" si="0"/>
        <v>0.2650785588908271</v>
      </c>
      <c r="D19" s="16" t="str">
        <f t="shared" si="1"/>
        <v>Heimmerer, Benjamin [34073]</v>
      </c>
      <c r="E19" s="16" t="s">
        <v>168</v>
      </c>
      <c r="F19" s="3" t="s">
        <v>198</v>
      </c>
      <c r="G19" s="3" t="s">
        <v>182</v>
      </c>
      <c r="H19" s="3"/>
      <c r="I19" s="3"/>
      <c r="J19" s="254" t="s">
        <v>103</v>
      </c>
      <c r="K19" s="255"/>
      <c r="L19" s="54">
        <v>11</v>
      </c>
      <c r="M19" s="140"/>
      <c r="N19" s="6">
        <f>IF(M19="","",IF(COUNTIF(SP32!$AO$3:$AO$62,M19)=1,"",M19&amp;"-"))</f>
      </c>
      <c r="O19" s="262"/>
      <c r="S19" s="232"/>
      <c r="V19" s="201">
        <f t="shared" si="2"/>
        <v>1</v>
      </c>
      <c r="W19" s="201">
        <f t="shared" si="3"/>
        <v>0</v>
      </c>
    </row>
    <row r="20" spans="1:23" ht="15.75">
      <c r="A20" s="261"/>
      <c r="B20" s="17">
        <v>12</v>
      </c>
      <c r="C20" s="16">
        <f ca="1" t="shared" si="0"/>
        <v>0.30096636678741384</v>
      </c>
      <c r="D20" s="16" t="str">
        <f t="shared" si="1"/>
        <v>Becherer, Thomas [25734]</v>
      </c>
      <c r="E20" s="16" t="s">
        <v>172</v>
      </c>
      <c r="F20" s="3" t="s">
        <v>199</v>
      </c>
      <c r="G20" s="3" t="s">
        <v>190</v>
      </c>
      <c r="H20" s="3"/>
      <c r="I20" s="3"/>
      <c r="J20" s="254" t="s">
        <v>104</v>
      </c>
      <c r="K20" s="255"/>
      <c r="L20" s="54">
        <v>12</v>
      </c>
      <c r="M20" s="140"/>
      <c r="N20" s="6">
        <f>IF(M20="","",IF(COUNTIF(SP32!$AO$3:$AO$62,M20)=1,"",M20&amp;"-"))</f>
      </c>
      <c r="O20" s="262"/>
      <c r="V20" s="201">
        <f t="shared" si="2"/>
        <v>1</v>
      </c>
      <c r="W20" s="201">
        <f t="shared" si="3"/>
        <v>0</v>
      </c>
    </row>
    <row r="21" spans="1:23" ht="15.75">
      <c r="A21" s="261"/>
      <c r="B21" s="17">
        <v>13</v>
      </c>
      <c r="C21" s="16">
        <f ca="1" t="shared" si="0"/>
        <v>0.8423117539929641</v>
      </c>
      <c r="D21" s="16" t="str">
        <f t="shared" si="1"/>
        <v>Mader, Martin [26601]</v>
      </c>
      <c r="E21" s="16" t="s">
        <v>174</v>
      </c>
      <c r="F21" s="3" t="s">
        <v>200</v>
      </c>
      <c r="G21" s="3" t="s">
        <v>201</v>
      </c>
      <c r="H21" s="3"/>
      <c r="I21" s="3"/>
      <c r="J21" s="254" t="s">
        <v>105</v>
      </c>
      <c r="K21" s="255"/>
      <c r="L21" s="54">
        <v>13</v>
      </c>
      <c r="M21" s="140"/>
      <c r="N21" s="6">
        <f>IF(M21="","",IF(COUNTIF(SP32!$AO$3:$AO$62,M21)=1,"",M21&amp;"-"))</f>
      </c>
      <c r="O21" s="262"/>
      <c r="S21" s="181">
        <f>IF(COUNTIF(SP32!AT3:AT62,"&gt;0")&gt;0,SUM(SP32!AT3:AT62)/COUNTIF(SP32!AT3:AT62,"&gt;0"),0)</f>
        <v>0</v>
      </c>
      <c r="V21" s="201">
        <f t="shared" si="2"/>
        <v>1</v>
      </c>
      <c r="W21" s="201">
        <f t="shared" si="3"/>
        <v>0</v>
      </c>
    </row>
    <row r="22" spans="1:23" ht="15.75">
      <c r="A22" s="261"/>
      <c r="B22" s="17">
        <v>14</v>
      </c>
      <c r="C22" s="16">
        <f ca="1" t="shared" si="0"/>
        <v>0.888961191597776</v>
      </c>
      <c r="D22" s="16" t="str">
        <f t="shared" si="1"/>
        <v>Spahr, Alexander [29007]</v>
      </c>
      <c r="E22" s="16" t="s">
        <v>167</v>
      </c>
      <c r="F22" s="3" t="s">
        <v>202</v>
      </c>
      <c r="G22" s="3" t="s">
        <v>203</v>
      </c>
      <c r="H22" s="3"/>
      <c r="I22" s="3"/>
      <c r="J22" s="254" t="s">
        <v>106</v>
      </c>
      <c r="K22" s="255"/>
      <c r="L22" s="54">
        <v>14</v>
      </c>
      <c r="M22" s="140"/>
      <c r="N22" s="6">
        <f>IF(M22="","",IF(COUNTIF(SP32!$AO$3:$AO$62,M22)=1,"",M22&amp;"-"))</f>
      </c>
      <c r="O22" s="262"/>
      <c r="S22" s="181">
        <f>(P17-P9)/P13</f>
        <v>-0.008560185185185186</v>
      </c>
      <c r="V22" s="201">
        <f t="shared" si="2"/>
        <v>1</v>
      </c>
      <c r="W22" s="201">
        <f t="shared" si="3"/>
        <v>0</v>
      </c>
    </row>
    <row r="23" spans="1:23" ht="15.75">
      <c r="A23" s="261"/>
      <c r="B23" s="17">
        <v>15</v>
      </c>
      <c r="C23" s="16">
        <f ca="1" t="shared" si="0"/>
        <v>0.038302836406297835</v>
      </c>
      <c r="D23" s="16" t="str">
        <f t="shared" si="1"/>
        <v>Braun, Dennis [39840]</v>
      </c>
      <c r="E23" s="16" t="s">
        <v>169</v>
      </c>
      <c r="F23" s="3" t="s">
        <v>204</v>
      </c>
      <c r="G23" s="3" t="s">
        <v>205</v>
      </c>
      <c r="H23" s="3"/>
      <c r="I23" s="3"/>
      <c r="J23" s="254" t="s">
        <v>107</v>
      </c>
      <c r="K23" s="255"/>
      <c r="L23" s="54">
        <v>15</v>
      </c>
      <c r="M23" s="140"/>
      <c r="N23" s="6">
        <f>IF(M23="","",IF(COUNTIF(SP32!$AO$3:$AO$62,M23)=1,"",M23&amp;"-"))</f>
      </c>
      <c r="O23" s="262"/>
      <c r="V23" s="201">
        <f t="shared" si="2"/>
        <v>1</v>
      </c>
      <c r="W23" s="201">
        <f t="shared" si="3"/>
        <v>0</v>
      </c>
    </row>
    <row r="24" spans="1:23" ht="15.75">
      <c r="A24" s="261"/>
      <c r="B24" s="17">
        <v>16</v>
      </c>
      <c r="C24" s="16">
        <f ca="1" t="shared" si="0"/>
        <v>0.8381383186324962</v>
      </c>
      <c r="D24" s="16" t="str">
        <f t="shared" si="1"/>
        <v>Gruber, Stefan [30145]</v>
      </c>
      <c r="E24" s="16" t="s">
        <v>164</v>
      </c>
      <c r="F24" s="3" t="s">
        <v>206</v>
      </c>
      <c r="G24" s="3" t="s">
        <v>207</v>
      </c>
      <c r="H24" s="3"/>
      <c r="I24" s="3"/>
      <c r="J24" s="254" t="s">
        <v>108</v>
      </c>
      <c r="K24" s="255"/>
      <c r="L24" s="54">
        <v>16</v>
      </c>
      <c r="M24" s="140"/>
      <c r="N24" s="6">
        <f>IF(M24="","",IF(COUNTIF(SP32!$AO$3:$AO$62,M24)=1,"",M24&amp;"-"))</f>
      </c>
      <c r="O24" s="262"/>
      <c r="V24" s="201">
        <f t="shared" si="2"/>
        <v>1</v>
      </c>
      <c r="W24" s="201">
        <f t="shared" si="3"/>
        <v>0</v>
      </c>
    </row>
    <row r="25" spans="1:22" ht="15">
      <c r="A25" s="261"/>
      <c r="B25" s="17">
        <v>17</v>
      </c>
      <c r="C25" s="16">
        <f ca="1" t="shared" si="0"/>
        <v>0.9493443841734033</v>
      </c>
      <c r="D25" s="16" t="str">
        <f t="shared" si="1"/>
        <v>Ruths, Georg [40922]</v>
      </c>
      <c r="E25" s="16" t="s">
        <v>131</v>
      </c>
      <c r="F25" s="3" t="s">
        <v>208</v>
      </c>
      <c r="G25" s="3" t="s">
        <v>209</v>
      </c>
      <c r="H25" s="3"/>
      <c r="I25" s="3"/>
      <c r="J25" s="254" t="s">
        <v>109</v>
      </c>
      <c r="K25" s="255"/>
      <c r="N25" s="150"/>
      <c r="V25" s="201">
        <f t="shared" si="2"/>
        <v>1</v>
      </c>
    </row>
    <row r="26" spans="1:22" ht="15">
      <c r="A26" s="261"/>
      <c r="B26" s="17">
        <v>18</v>
      </c>
      <c r="C26" s="16">
        <f ca="1" t="shared" si="0"/>
        <v>0.09212415159612775</v>
      </c>
      <c r="D26" s="16" t="str">
        <f t="shared" si="1"/>
        <v>Uitz, Richard [16651]</v>
      </c>
      <c r="E26" s="16" t="s">
        <v>131</v>
      </c>
      <c r="F26" s="3" t="s">
        <v>210</v>
      </c>
      <c r="G26" s="3" t="s">
        <v>201</v>
      </c>
      <c r="H26" s="3"/>
      <c r="I26" s="3"/>
      <c r="J26" s="254" t="s">
        <v>110</v>
      </c>
      <c r="K26" s="255"/>
      <c r="V26" s="201">
        <f t="shared" si="2"/>
        <v>1</v>
      </c>
    </row>
    <row r="27" spans="1:22" ht="15">
      <c r="A27" s="261"/>
      <c r="B27" s="17">
        <v>19</v>
      </c>
      <c r="C27" s="16">
        <f ca="1" t="shared" si="0"/>
        <v>0.8819925898717804</v>
      </c>
      <c r="D27" s="16" t="str">
        <f t="shared" si="1"/>
        <v>Kömürcü, Levent [20064]</v>
      </c>
      <c r="E27" s="16" t="s">
        <v>131</v>
      </c>
      <c r="F27" s="3" t="s">
        <v>211</v>
      </c>
      <c r="G27" s="3" t="s">
        <v>207</v>
      </c>
      <c r="H27" s="3"/>
      <c r="I27" s="3"/>
      <c r="J27" s="254" t="s">
        <v>111</v>
      </c>
      <c r="K27" s="255"/>
      <c r="V27" s="201">
        <f t="shared" si="2"/>
        <v>1</v>
      </c>
    </row>
    <row r="28" spans="1:22" ht="15">
      <c r="A28" s="261"/>
      <c r="B28" s="17">
        <v>20</v>
      </c>
      <c r="C28" s="16">
        <f ca="1" t="shared" si="0"/>
        <v>0.12537095494051442</v>
      </c>
      <c r="D28" s="16" t="str">
        <f t="shared" si="1"/>
        <v>Bachl, Norbert [16304]</v>
      </c>
      <c r="E28" s="16" t="s">
        <v>131</v>
      </c>
      <c r="F28" s="3" t="s">
        <v>212</v>
      </c>
      <c r="G28" s="3" t="s">
        <v>213</v>
      </c>
      <c r="H28" s="3"/>
      <c r="I28" s="3"/>
      <c r="J28" s="254" t="s">
        <v>112</v>
      </c>
      <c r="K28" s="255"/>
      <c r="V28" s="201">
        <f t="shared" si="2"/>
        <v>1</v>
      </c>
    </row>
    <row r="29" spans="1:22" ht="15">
      <c r="A29" s="261"/>
      <c r="B29" s="17">
        <v>21</v>
      </c>
      <c r="C29" s="16">
        <f ca="1" t="shared" si="0"/>
        <v>0.492125828321444</v>
      </c>
      <c r="D29" s="16" t="str">
        <f t="shared" si="1"/>
        <v>Schmid, Andreas [18352]</v>
      </c>
      <c r="E29" s="16" t="s">
        <v>131</v>
      </c>
      <c r="F29" s="3" t="s">
        <v>214</v>
      </c>
      <c r="G29" s="3" t="s">
        <v>184</v>
      </c>
      <c r="H29" s="3"/>
      <c r="I29" s="3"/>
      <c r="J29" s="254" t="s">
        <v>113</v>
      </c>
      <c r="K29" s="255"/>
      <c r="V29" s="201">
        <f t="shared" si="2"/>
        <v>1</v>
      </c>
    </row>
    <row r="30" spans="1:22" ht="15">
      <c r="A30" s="261"/>
      <c r="B30" s="17">
        <v>22</v>
      </c>
      <c r="C30" s="16">
        <f ca="1" t="shared" si="0"/>
        <v>0.6426561910819153</v>
      </c>
      <c r="D30" s="16" t="str">
        <f t="shared" si="1"/>
        <v>Schröter, Matthias [35127]</v>
      </c>
      <c r="E30" s="16" t="s">
        <v>131</v>
      </c>
      <c r="F30" s="3" t="s">
        <v>215</v>
      </c>
      <c r="G30" s="3" t="s">
        <v>213</v>
      </c>
      <c r="H30" s="3"/>
      <c r="I30" s="3"/>
      <c r="J30" s="254" t="s">
        <v>114</v>
      </c>
      <c r="K30" s="255"/>
      <c r="V30" s="201">
        <f t="shared" si="2"/>
        <v>1</v>
      </c>
    </row>
    <row r="31" spans="1:22" ht="15">
      <c r="A31" s="261"/>
      <c r="B31" s="17">
        <v>23</v>
      </c>
      <c r="C31" s="16">
        <f ca="1" t="shared" si="0"/>
        <v>0.2280699912151245</v>
      </c>
      <c r="D31" s="16" t="str">
        <f t="shared" si="1"/>
        <v>Smith, Mike jun. [31558]</v>
      </c>
      <c r="E31" s="16" t="s">
        <v>131</v>
      </c>
      <c r="F31" s="3" t="s">
        <v>216</v>
      </c>
      <c r="G31" s="3" t="s">
        <v>217</v>
      </c>
      <c r="H31" s="3"/>
      <c r="I31" s="3"/>
      <c r="J31" s="254" t="s">
        <v>115</v>
      </c>
      <c r="K31" s="255"/>
      <c r="V31" s="201">
        <f t="shared" si="2"/>
        <v>1</v>
      </c>
    </row>
    <row r="32" spans="1:22" ht="15">
      <c r="A32" s="261"/>
      <c r="B32" s="17">
        <v>24</v>
      </c>
      <c r="C32" s="16">
        <f ca="1" t="shared" si="0"/>
        <v>0.6662255271043833</v>
      </c>
      <c r="D32" s="16" t="str">
        <f t="shared" si="1"/>
        <v>Kabelin, Sven [24986]</v>
      </c>
      <c r="E32" s="16" t="s">
        <v>131</v>
      </c>
      <c r="F32" s="3" t="s">
        <v>218</v>
      </c>
      <c r="G32" s="3" t="s">
        <v>190</v>
      </c>
      <c r="H32" s="3"/>
      <c r="I32" s="3"/>
      <c r="J32" s="254" t="s">
        <v>116</v>
      </c>
      <c r="K32" s="255"/>
      <c r="V32" s="201">
        <f t="shared" si="2"/>
        <v>1</v>
      </c>
    </row>
    <row r="33" spans="1:22" ht="15">
      <c r="A33" s="261"/>
      <c r="B33" s="17">
        <v>25</v>
      </c>
      <c r="C33" s="16">
        <f ca="1" t="shared" si="0"/>
        <v>0.5341978771264657</v>
      </c>
      <c r="D33" s="16" t="str">
        <f t="shared" si="1"/>
        <v>Caranica, Philipp [32781]</v>
      </c>
      <c r="E33" s="16" t="s">
        <v>131</v>
      </c>
      <c r="F33" s="3" t="s">
        <v>219</v>
      </c>
      <c r="G33" s="3" t="s">
        <v>182</v>
      </c>
      <c r="H33" s="3"/>
      <c r="I33" s="3"/>
      <c r="J33" s="254" t="s">
        <v>117</v>
      </c>
      <c r="K33" s="255"/>
      <c r="V33" s="201">
        <f t="shared" si="2"/>
        <v>1</v>
      </c>
    </row>
    <row r="34" spans="1:22" ht="15">
      <c r="A34" s="261"/>
      <c r="B34" s="17">
        <v>26</v>
      </c>
      <c r="C34" s="16">
        <f ca="1" t="shared" si="0"/>
        <v>0.33450397077257543</v>
      </c>
      <c r="D34" s="16" t="str">
        <f t="shared" si="1"/>
        <v>Reutter, Harald [20274]</v>
      </c>
      <c r="E34" s="16" t="s">
        <v>131</v>
      </c>
      <c r="F34" s="3" t="s">
        <v>220</v>
      </c>
      <c r="G34" s="3" t="s">
        <v>221</v>
      </c>
      <c r="H34" s="3"/>
      <c r="I34" s="3"/>
      <c r="J34" s="254" t="s">
        <v>118</v>
      </c>
      <c r="K34" s="255"/>
      <c r="V34" s="201">
        <f t="shared" si="2"/>
        <v>1</v>
      </c>
    </row>
    <row r="35" spans="1:22" ht="15">
      <c r="A35" s="261"/>
      <c r="B35" s="17">
        <v>27</v>
      </c>
      <c r="C35" s="16">
        <f ca="1" t="shared" si="0"/>
        <v>0.8398403857587076</v>
      </c>
      <c r="D35" s="16" t="str">
        <f t="shared" si="1"/>
        <v>Hirschbichler, Robert [22548]</v>
      </c>
      <c r="E35" s="16" t="s">
        <v>131</v>
      </c>
      <c r="F35" s="3" t="s">
        <v>222</v>
      </c>
      <c r="G35" s="3" t="s">
        <v>186</v>
      </c>
      <c r="H35" s="3"/>
      <c r="I35" s="3"/>
      <c r="J35" s="254" t="s">
        <v>119</v>
      </c>
      <c r="K35" s="255"/>
      <c r="V35" s="201">
        <f t="shared" si="2"/>
        <v>1</v>
      </c>
    </row>
    <row r="36" spans="1:22" ht="15">
      <c r="A36" s="261"/>
      <c r="B36" s="17">
        <v>28</v>
      </c>
      <c r="C36" s="16">
        <f ca="1" t="shared" si="0"/>
        <v>0.8703302362749974</v>
      </c>
      <c r="D36" s="16" t="str">
        <f t="shared" si="1"/>
        <v>Volkert, Frank [37753]</v>
      </c>
      <c r="E36" s="16" t="s">
        <v>131</v>
      </c>
      <c r="F36" s="3" t="s">
        <v>223</v>
      </c>
      <c r="G36" s="3" t="s">
        <v>224</v>
      </c>
      <c r="H36" s="3"/>
      <c r="I36" s="3"/>
      <c r="J36" s="254" t="s">
        <v>120</v>
      </c>
      <c r="K36" s="255"/>
      <c r="V36" s="201">
        <f t="shared" si="2"/>
        <v>1</v>
      </c>
    </row>
    <row r="37" spans="1:22" ht="15">
      <c r="A37" s="261"/>
      <c r="B37" s="17">
        <v>29</v>
      </c>
      <c r="C37" s="16">
        <f ca="1" t="shared" si="0"/>
        <v>0.5801641420689343</v>
      </c>
      <c r="D37" s="16" t="str">
        <f t="shared" si="1"/>
        <v>Dingler, Christian [20927]</v>
      </c>
      <c r="E37" s="16" t="s">
        <v>131</v>
      </c>
      <c r="F37" s="3" t="s">
        <v>225</v>
      </c>
      <c r="G37" s="3" t="s">
        <v>182</v>
      </c>
      <c r="H37" s="3"/>
      <c r="I37" s="3"/>
      <c r="J37" s="254" t="s">
        <v>121</v>
      </c>
      <c r="K37" s="255"/>
      <c r="V37" s="201">
        <f t="shared" si="2"/>
        <v>1</v>
      </c>
    </row>
    <row r="38" spans="1:22" ht="15">
      <c r="A38" s="261"/>
      <c r="B38" s="17">
        <v>30</v>
      </c>
      <c r="C38" s="16">
        <f ca="1" t="shared" si="0"/>
        <v>0.457356837655154</v>
      </c>
      <c r="D38" s="16" t="str">
        <f t="shared" si="1"/>
        <v>Scholz, Federico [34523]</v>
      </c>
      <c r="E38" s="16" t="s">
        <v>131</v>
      </c>
      <c r="F38" s="3" t="s">
        <v>226</v>
      </c>
      <c r="G38" s="3" t="s">
        <v>184</v>
      </c>
      <c r="H38" s="3"/>
      <c r="I38" s="3"/>
      <c r="J38" s="254" t="s">
        <v>122</v>
      </c>
      <c r="K38" s="255"/>
      <c r="V38" s="201">
        <f t="shared" si="2"/>
        <v>1</v>
      </c>
    </row>
    <row r="39" spans="1:22" ht="15">
      <c r="A39" s="261"/>
      <c r="B39" s="17">
        <v>31</v>
      </c>
      <c r="C39" s="16">
        <f ca="1" t="shared" si="0"/>
        <v>0.9790159189089076</v>
      </c>
      <c r="D39" s="16" t="str">
        <f t="shared" si="1"/>
        <v>Mayr, Stefan [14899]</v>
      </c>
      <c r="E39" s="16" t="s">
        <v>131</v>
      </c>
      <c r="F39" s="3" t="s">
        <v>227</v>
      </c>
      <c r="G39" s="3" t="s">
        <v>203</v>
      </c>
      <c r="H39" s="3"/>
      <c r="I39" s="3"/>
      <c r="J39" s="254" t="s">
        <v>123</v>
      </c>
      <c r="K39" s="255"/>
      <c r="V39" s="201">
        <f t="shared" si="2"/>
        <v>1</v>
      </c>
    </row>
    <row r="40" spans="1:22" ht="15">
      <c r="A40" s="261"/>
      <c r="B40" s="17">
        <v>32</v>
      </c>
      <c r="C40" s="16">
        <f ca="1" t="shared" si="0"/>
        <v>0.3263951829537448</v>
      </c>
      <c r="D40" s="16" t="str">
        <f t="shared" si="1"/>
        <v>Guggemos, Florian [37921]</v>
      </c>
      <c r="E40" s="16" t="s">
        <v>131</v>
      </c>
      <c r="F40" s="3" t="s">
        <v>228</v>
      </c>
      <c r="G40" s="3" t="s">
        <v>217</v>
      </c>
      <c r="H40" s="3"/>
      <c r="I40" s="3"/>
      <c r="J40" s="254" t="s">
        <v>124</v>
      </c>
      <c r="K40" s="255"/>
      <c r="V40" s="201">
        <f t="shared" si="2"/>
        <v>1</v>
      </c>
    </row>
    <row r="41" spans="3:4" ht="12.75">
      <c r="C41" s="2">
        <f ca="1" t="shared" si="0"/>
        <v>1.01</v>
      </c>
      <c r="D41" s="2" t="str">
        <f t="shared" si="1"/>
        <v>Freilos</v>
      </c>
    </row>
    <row r="42" ht="13.5" thickBot="1"/>
    <row r="43" spans="6:9" ht="15">
      <c r="F43" s="151" t="s">
        <v>48</v>
      </c>
      <c r="G43" s="266"/>
      <c r="H43" s="267"/>
      <c r="I43" s="256" t="s">
        <v>49</v>
      </c>
    </row>
    <row r="44" spans="6:9" ht="15">
      <c r="F44" s="152" t="s">
        <v>50</v>
      </c>
      <c r="G44" s="268"/>
      <c r="H44" s="269"/>
      <c r="I44" s="256"/>
    </row>
    <row r="45" spans="6:9" ht="15">
      <c r="F45" s="152" t="s">
        <v>51</v>
      </c>
      <c r="G45" s="270"/>
      <c r="H45" s="269"/>
      <c r="I45" s="256"/>
    </row>
    <row r="46" spans="6:9" ht="15">
      <c r="F46" s="153" t="s">
        <v>52</v>
      </c>
      <c r="G46" s="268"/>
      <c r="H46" s="269"/>
      <c r="I46" s="256"/>
    </row>
    <row r="47" spans="6:9" ht="15.75" thickBot="1">
      <c r="F47" s="154" t="s">
        <v>89</v>
      </c>
      <c r="G47" s="263"/>
      <c r="H47" s="264"/>
      <c r="I47" s="257"/>
    </row>
    <row r="48" spans="1:10" ht="15">
      <c r="A48" s="201"/>
      <c r="B48" s="201"/>
      <c r="C48" s="201"/>
      <c r="D48" s="201"/>
      <c r="E48" s="201"/>
      <c r="F48" s="155"/>
      <c r="G48" s="265"/>
      <c r="H48" s="265"/>
      <c r="I48" s="201"/>
      <c r="J48" s="201"/>
    </row>
    <row r="49" spans="1:10" ht="12.75">
      <c r="A49" s="201"/>
      <c r="B49" s="201"/>
      <c r="C49" s="201"/>
      <c r="D49" s="201"/>
      <c r="E49" s="201"/>
      <c r="F49" s="201"/>
      <c r="G49" s="201"/>
      <c r="H49" s="201"/>
      <c r="I49" s="201"/>
      <c r="J49" s="201"/>
    </row>
    <row r="50" spans="1:10" ht="12.75">
      <c r="A50" s="201"/>
      <c r="B50" s="201"/>
      <c r="C50" s="201"/>
      <c r="D50" s="201"/>
      <c r="E50" s="201"/>
      <c r="F50" s="201"/>
      <c r="G50" s="201"/>
      <c r="H50" s="201"/>
      <c r="I50" s="201"/>
      <c r="J50" s="201"/>
    </row>
    <row r="51" spans="1:10" ht="12.75">
      <c r="A51" s="201"/>
      <c r="B51" s="201"/>
      <c r="C51" s="201"/>
      <c r="D51" s="201"/>
      <c r="E51" s="201"/>
      <c r="F51" s="201"/>
      <c r="G51" s="201"/>
      <c r="H51" s="201"/>
      <c r="I51" s="201"/>
      <c r="J51" s="201"/>
    </row>
    <row r="52" spans="1:10" ht="12.75">
      <c r="A52" s="201"/>
      <c r="B52" s="201"/>
      <c r="C52" s="201"/>
      <c r="D52" s="201"/>
      <c r="E52" s="201"/>
      <c r="F52" s="201"/>
      <c r="G52" s="201"/>
      <c r="H52" s="201"/>
      <c r="I52" s="201"/>
      <c r="J52" s="201"/>
    </row>
    <row r="53" spans="1:10" ht="12.75">
      <c r="A53" s="201"/>
      <c r="B53" s="201"/>
      <c r="C53" s="201"/>
      <c r="D53" s="201"/>
      <c r="E53" s="201"/>
      <c r="F53" s="201"/>
      <c r="G53" s="201"/>
      <c r="H53" s="201"/>
      <c r="I53" s="201"/>
      <c r="J53" s="201"/>
    </row>
    <row r="54" spans="1:10" ht="12.75">
      <c r="A54" s="201"/>
      <c r="B54" s="201"/>
      <c r="C54" s="201"/>
      <c r="D54" s="201"/>
      <c r="E54" s="201"/>
      <c r="F54" s="201"/>
      <c r="G54" s="201"/>
      <c r="H54" s="201"/>
      <c r="I54" s="201"/>
      <c r="J54" s="201"/>
    </row>
    <row r="55" spans="1:10" ht="12.75">
      <c r="A55" s="201"/>
      <c r="B55" s="201"/>
      <c r="C55" s="201"/>
      <c r="D55" s="201"/>
      <c r="E55" s="201"/>
      <c r="F55" s="201"/>
      <c r="G55" s="201"/>
      <c r="H55" s="201"/>
      <c r="I55" s="201"/>
      <c r="J55" s="201"/>
    </row>
    <row r="56" spans="1:10" ht="12.75">
      <c r="A56" s="201"/>
      <c r="B56" s="201"/>
      <c r="C56" s="201"/>
      <c r="D56" s="201"/>
      <c r="E56" s="201"/>
      <c r="F56" s="201"/>
      <c r="G56" s="201"/>
      <c r="H56" s="201"/>
      <c r="I56" s="201"/>
      <c r="J56" s="201"/>
    </row>
    <row r="57" spans="1:10" ht="12.75">
      <c r="A57" s="201"/>
      <c r="B57" s="201"/>
      <c r="C57" s="201"/>
      <c r="D57" s="201"/>
      <c r="E57" s="201"/>
      <c r="F57" s="201"/>
      <c r="G57" s="201"/>
      <c r="H57" s="201"/>
      <c r="I57" s="201"/>
      <c r="J57" s="201"/>
    </row>
    <row r="58" spans="1:10" ht="12.75">
      <c r="A58" s="201"/>
      <c r="B58" s="201"/>
      <c r="C58" s="201"/>
      <c r="D58" s="201"/>
      <c r="E58" s="201"/>
      <c r="F58" s="201"/>
      <c r="G58" s="201"/>
      <c r="H58" s="201"/>
      <c r="I58" s="201"/>
      <c r="J58" s="201"/>
    </row>
    <row r="59" spans="1:10" ht="12.75">
      <c r="A59" s="201"/>
      <c r="B59" s="201"/>
      <c r="C59" s="201"/>
      <c r="D59" s="201"/>
      <c r="E59" s="201"/>
      <c r="F59" s="201"/>
      <c r="G59" s="201"/>
      <c r="H59" s="201"/>
      <c r="I59" s="201"/>
      <c r="J59" s="201"/>
    </row>
    <row r="60" spans="1:10" ht="12.75">
      <c r="A60" s="201"/>
      <c r="B60" s="201"/>
      <c r="C60" s="201"/>
      <c r="D60" s="201"/>
      <c r="E60" s="201"/>
      <c r="F60" s="201"/>
      <c r="G60" s="201"/>
      <c r="H60" s="201"/>
      <c r="I60" s="201"/>
      <c r="J60" s="201"/>
    </row>
    <row r="61" spans="1:10" ht="12.75">
      <c r="A61" s="201"/>
      <c r="B61" s="201"/>
      <c r="C61" s="201"/>
      <c r="D61" s="201"/>
      <c r="E61" s="201"/>
      <c r="F61" s="201"/>
      <c r="G61" s="201"/>
      <c r="H61" s="201"/>
      <c r="I61" s="201"/>
      <c r="J61" s="201"/>
    </row>
    <row r="62" spans="1:10" ht="12.75">
      <c r="A62" s="201"/>
      <c r="B62" s="201"/>
      <c r="C62" s="201"/>
      <c r="D62" s="201"/>
      <c r="E62" s="201"/>
      <c r="F62" s="201"/>
      <c r="G62" s="201"/>
      <c r="H62" s="201"/>
      <c r="I62" s="201"/>
      <c r="J62" s="201"/>
    </row>
    <row r="63" spans="1:10" ht="12.75">
      <c r="A63" s="201"/>
      <c r="B63" s="201"/>
      <c r="C63" s="201"/>
      <c r="D63" s="201"/>
      <c r="E63" s="201"/>
      <c r="F63" s="201"/>
      <c r="G63" s="201"/>
      <c r="H63" s="201"/>
      <c r="I63" s="201"/>
      <c r="J63" s="201"/>
    </row>
    <row r="64" spans="1:10" ht="12.75">
      <c r="A64" s="201"/>
      <c r="B64" s="201"/>
      <c r="C64" s="201"/>
      <c r="D64" s="201"/>
      <c r="E64" s="201"/>
      <c r="F64" s="201"/>
      <c r="G64" s="201"/>
      <c r="H64" s="201"/>
      <c r="I64" s="201"/>
      <c r="J64" s="201"/>
    </row>
    <row r="65" spans="1:10" ht="12.75">
      <c r="A65" s="201"/>
      <c r="B65" s="201"/>
      <c r="C65" s="201"/>
      <c r="D65" s="201"/>
      <c r="E65" s="201"/>
      <c r="F65" s="201"/>
      <c r="G65" s="201"/>
      <c r="H65" s="201"/>
      <c r="I65" s="201"/>
      <c r="J65" s="201"/>
    </row>
    <row r="66" spans="1:10" ht="12.75">
      <c r="A66" s="201"/>
      <c r="B66" s="201"/>
      <c r="C66" s="201"/>
      <c r="D66" s="201"/>
      <c r="E66" s="201"/>
      <c r="F66" s="201"/>
      <c r="G66" s="201"/>
      <c r="H66" s="201"/>
      <c r="I66" s="201"/>
      <c r="J66" s="201"/>
    </row>
    <row r="67" spans="1:10" ht="12.75">
      <c r="A67" s="201"/>
      <c r="B67" s="201"/>
      <c r="C67" s="201"/>
      <c r="D67" s="201"/>
      <c r="E67" s="201"/>
      <c r="F67" s="201"/>
      <c r="G67" s="201"/>
      <c r="H67" s="201"/>
      <c r="I67" s="201"/>
      <c r="J67" s="201"/>
    </row>
    <row r="68" spans="1:10" ht="12.75">
      <c r="A68" s="201"/>
      <c r="B68" s="201"/>
      <c r="C68" s="201"/>
      <c r="D68" s="201"/>
      <c r="E68" s="201"/>
      <c r="F68" s="201"/>
      <c r="G68" s="201"/>
      <c r="H68" s="201"/>
      <c r="I68" s="201"/>
      <c r="J68" s="201"/>
    </row>
    <row r="69" spans="1:10" ht="12.75">
      <c r="A69" s="201"/>
      <c r="B69" s="201"/>
      <c r="C69" s="201"/>
      <c r="D69" s="201"/>
      <c r="E69" s="201"/>
      <c r="F69" s="201"/>
      <c r="G69" s="201"/>
      <c r="H69" s="201"/>
      <c r="I69" s="201"/>
      <c r="J69" s="201"/>
    </row>
    <row r="70" spans="1:10" ht="12.75">
      <c r="A70" s="201"/>
      <c r="B70" s="201"/>
      <c r="C70" s="201"/>
      <c r="D70" s="201"/>
      <c r="E70" s="201"/>
      <c r="F70" s="201"/>
      <c r="G70" s="201"/>
      <c r="H70" s="201"/>
      <c r="I70" s="201"/>
      <c r="J70" s="201"/>
    </row>
    <row r="71" spans="1:10" ht="12.75">
      <c r="A71" s="201"/>
      <c r="B71" s="201"/>
      <c r="C71" s="201"/>
      <c r="D71" s="201"/>
      <c r="E71" s="201"/>
      <c r="F71" s="201"/>
      <c r="G71" s="201"/>
      <c r="H71" s="201"/>
      <c r="I71" s="201"/>
      <c r="J71" s="201"/>
    </row>
    <row r="72" spans="1:10" ht="12.75">
      <c r="A72" s="201"/>
      <c r="B72" s="201"/>
      <c r="C72" s="201"/>
      <c r="D72" s="201"/>
      <c r="E72" s="201"/>
      <c r="F72" s="201"/>
      <c r="G72" s="201"/>
      <c r="H72" s="201"/>
      <c r="I72" s="201"/>
      <c r="J72" s="201"/>
    </row>
    <row r="73" spans="1:10" ht="12.75">
      <c r="A73" s="201"/>
      <c r="B73" s="201"/>
      <c r="C73" s="201"/>
      <c r="D73" s="201"/>
      <c r="E73" s="201"/>
      <c r="F73" s="201"/>
      <c r="G73" s="201"/>
      <c r="H73" s="201"/>
      <c r="I73" s="201"/>
      <c r="J73" s="201"/>
    </row>
    <row r="74" spans="1:10" ht="12.75">
      <c r="A74" s="201"/>
      <c r="B74" s="201"/>
      <c r="C74" s="201"/>
      <c r="D74" s="201"/>
      <c r="E74" s="201"/>
      <c r="F74" s="201"/>
      <c r="G74" s="201"/>
      <c r="H74" s="201"/>
      <c r="I74" s="201"/>
      <c r="J74" s="201"/>
    </row>
    <row r="75" spans="1:10" ht="12.75">
      <c r="A75" s="201"/>
      <c r="B75" s="201"/>
      <c r="C75" s="201"/>
      <c r="D75" s="201"/>
      <c r="E75" s="201"/>
      <c r="F75" s="201"/>
      <c r="G75" s="201"/>
      <c r="H75" s="201"/>
      <c r="I75" s="201"/>
      <c r="J75" s="201"/>
    </row>
    <row r="76" spans="1:10" ht="12.75">
      <c r="A76" s="201"/>
      <c r="B76" s="201"/>
      <c r="C76" s="201"/>
      <c r="D76" s="201"/>
      <c r="E76" s="201"/>
      <c r="F76" s="201"/>
      <c r="G76" s="201"/>
      <c r="H76" s="201"/>
      <c r="I76" s="201"/>
      <c r="J76" s="201"/>
    </row>
    <row r="77" spans="1:10" ht="12.75">
      <c r="A77" s="201"/>
      <c r="B77" s="201"/>
      <c r="C77" s="201"/>
      <c r="D77" s="201"/>
      <c r="E77" s="201"/>
      <c r="F77" s="201"/>
      <c r="G77" s="201"/>
      <c r="H77" s="201"/>
      <c r="I77" s="201"/>
      <c r="J77" s="201"/>
    </row>
    <row r="78" spans="1:10" ht="12.75">
      <c r="A78" s="201"/>
      <c r="B78" s="201"/>
      <c r="C78" s="201"/>
      <c r="D78" s="201"/>
      <c r="E78" s="201"/>
      <c r="F78" s="201"/>
      <c r="G78" s="201"/>
      <c r="H78" s="201"/>
      <c r="I78" s="201"/>
      <c r="J78" s="201"/>
    </row>
    <row r="79" spans="1:10" ht="12.75">
      <c r="A79" s="201"/>
      <c r="B79" s="201"/>
      <c r="C79" s="201"/>
      <c r="D79" s="201"/>
      <c r="E79" s="201"/>
      <c r="F79" s="201"/>
      <c r="G79" s="201"/>
      <c r="H79" s="201"/>
      <c r="I79" s="201"/>
      <c r="J79" s="201"/>
    </row>
    <row r="80" spans="1:10" ht="12.75">
      <c r="A80" s="201"/>
      <c r="B80" s="201"/>
      <c r="C80" s="201"/>
      <c r="D80" s="201"/>
      <c r="E80" s="201"/>
      <c r="F80" s="201"/>
      <c r="G80" s="201"/>
      <c r="H80" s="201"/>
      <c r="I80" s="201"/>
      <c r="J80" s="201"/>
    </row>
    <row r="81" spans="1:10" ht="12.75">
      <c r="A81" s="201"/>
      <c r="B81" s="201"/>
      <c r="C81" s="201"/>
      <c r="D81" s="201"/>
      <c r="E81" s="201"/>
      <c r="F81" s="201"/>
      <c r="G81" s="201"/>
      <c r="H81" s="201"/>
      <c r="I81" s="201"/>
      <c r="J81" s="201"/>
    </row>
    <row r="82" spans="1:10" ht="12.75">
      <c r="A82" s="201"/>
      <c r="B82" s="201"/>
      <c r="C82" s="201"/>
      <c r="D82" s="201"/>
      <c r="E82" s="201"/>
      <c r="F82" s="201"/>
      <c r="G82" s="201"/>
      <c r="H82" s="201"/>
      <c r="I82" s="201"/>
      <c r="J82" s="201"/>
    </row>
    <row r="83" spans="1:10" ht="12.75">
      <c r="A83" s="201"/>
      <c r="B83" s="201"/>
      <c r="C83" s="201"/>
      <c r="D83" s="201"/>
      <c r="E83" s="201"/>
      <c r="F83" s="201"/>
      <c r="G83" s="201"/>
      <c r="H83" s="201"/>
      <c r="I83" s="201"/>
      <c r="J83" s="201"/>
    </row>
    <row r="84" spans="1:10" ht="12.75">
      <c r="A84" s="201"/>
      <c r="B84" s="201"/>
      <c r="C84" s="201"/>
      <c r="D84" s="201"/>
      <c r="E84" s="201"/>
      <c r="F84" s="201"/>
      <c r="G84" s="201"/>
      <c r="H84" s="201"/>
      <c r="I84" s="201"/>
      <c r="J84" s="201"/>
    </row>
    <row r="85" spans="1:10" ht="12.75">
      <c r="A85" s="201"/>
      <c r="B85" s="201"/>
      <c r="C85" s="201"/>
      <c r="D85" s="201"/>
      <c r="E85" s="201"/>
      <c r="F85" s="201"/>
      <c r="G85" s="201"/>
      <c r="H85" s="201"/>
      <c r="I85" s="201"/>
      <c r="J85" s="201"/>
    </row>
    <row r="86" spans="1:10" ht="12.75">
      <c r="A86" s="201"/>
      <c r="B86" s="201"/>
      <c r="C86" s="201"/>
      <c r="D86" s="201"/>
      <c r="E86" s="201"/>
      <c r="F86" s="201"/>
      <c r="G86" s="201"/>
      <c r="H86" s="201"/>
      <c r="I86" s="201"/>
      <c r="J86" s="201"/>
    </row>
    <row r="87" spans="1:10" ht="12.75">
      <c r="A87" s="201"/>
      <c r="B87" s="201"/>
      <c r="C87" s="201"/>
      <c r="D87" s="201"/>
      <c r="E87" s="201"/>
      <c r="F87" s="201"/>
      <c r="G87" s="201"/>
      <c r="H87" s="201"/>
      <c r="I87" s="201"/>
      <c r="J87" s="201"/>
    </row>
    <row r="88" spans="1:10" ht="12.75">
      <c r="A88" s="201"/>
      <c r="B88" s="201"/>
      <c r="C88" s="201"/>
      <c r="D88" s="201"/>
      <c r="E88" s="201"/>
      <c r="F88" s="201"/>
      <c r="G88" s="201"/>
      <c r="H88" s="201"/>
      <c r="I88" s="201"/>
      <c r="J88" s="201"/>
    </row>
    <row r="89" spans="1:10" ht="12.75">
      <c r="A89" s="201"/>
      <c r="B89" s="201"/>
      <c r="C89" s="201"/>
      <c r="D89" s="201"/>
      <c r="E89" s="201"/>
      <c r="F89" s="201"/>
      <c r="G89" s="201"/>
      <c r="H89" s="201"/>
      <c r="I89" s="201"/>
      <c r="J89" s="201"/>
    </row>
    <row r="90" spans="1:10" ht="12.75">
      <c r="A90" s="201"/>
      <c r="B90" s="201"/>
      <c r="C90" s="201"/>
      <c r="D90" s="201"/>
      <c r="E90" s="201"/>
      <c r="F90" s="201"/>
      <c r="G90" s="201"/>
      <c r="H90" s="201"/>
      <c r="I90" s="201"/>
      <c r="J90" s="201"/>
    </row>
    <row r="91" spans="1:10" ht="12.75">
      <c r="A91" s="201"/>
      <c r="B91" s="201"/>
      <c r="C91" s="201"/>
      <c r="D91" s="201"/>
      <c r="E91" s="201"/>
      <c r="F91" s="201"/>
      <c r="G91" s="201"/>
      <c r="H91" s="201"/>
      <c r="I91" s="201"/>
      <c r="J91" s="201"/>
    </row>
    <row r="92" spans="1:10" ht="12.75">
      <c r="A92" s="201"/>
      <c r="B92" s="201"/>
      <c r="C92" s="201"/>
      <c r="D92" s="201"/>
      <c r="E92" s="201"/>
      <c r="F92" s="201"/>
      <c r="G92" s="201"/>
      <c r="H92" s="201"/>
      <c r="I92" s="201"/>
      <c r="J92" s="201"/>
    </row>
    <row r="93" spans="1:10" ht="12.75">
      <c r="A93" s="201"/>
      <c r="B93" s="201"/>
      <c r="C93" s="201"/>
      <c r="D93" s="201"/>
      <c r="E93" s="201"/>
      <c r="F93" s="201"/>
      <c r="G93" s="201"/>
      <c r="H93" s="201"/>
      <c r="I93" s="201"/>
      <c r="J93" s="201"/>
    </row>
    <row r="94" spans="1:10" ht="12.75">
      <c r="A94" s="201"/>
      <c r="B94" s="201"/>
      <c r="C94" s="201"/>
      <c r="D94" s="201"/>
      <c r="E94" s="201"/>
      <c r="F94" s="201"/>
      <c r="G94" s="201"/>
      <c r="H94" s="201"/>
      <c r="I94" s="201"/>
      <c r="J94" s="201"/>
    </row>
  </sheetData>
  <sheetProtection sheet="1" objects="1" scenarios="1"/>
  <mergeCells count="8">
    <mergeCell ref="A8:A40"/>
    <mergeCell ref="O8:O24"/>
    <mergeCell ref="G47:H47"/>
    <mergeCell ref="G48:H48"/>
    <mergeCell ref="G43:H43"/>
    <mergeCell ref="G44:H44"/>
    <mergeCell ref="G45:H45"/>
    <mergeCell ref="G46:H46"/>
  </mergeCells>
  <conditionalFormatting sqref="A8:A40">
    <cfRule type="expression" priority="1" dxfId="2" stopIfTrue="1">
      <formula>$V$8&gt;1</formula>
    </cfRule>
  </conditionalFormatting>
  <conditionalFormatting sqref="O8:O24">
    <cfRule type="expression" priority="2" dxfId="2" stopIfTrue="1">
      <formula>$W$8&gt;1</formula>
    </cfRule>
  </conditionalFormatting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AV86"/>
  <sheetViews>
    <sheetView showGridLines="0" tabSelected="1" showOutlineSymbols="0" zoomScalePageLayoutView="0" workbookViewId="0" topLeftCell="A1">
      <pane ySplit="2" topLeftCell="A3" activePane="bottomLeft" state="frozen"/>
      <selection pane="topLeft" activeCell="A1" sqref="A1"/>
      <selection pane="bottomLeft" activeCell="E32" sqref="E32"/>
    </sheetView>
  </sheetViews>
  <sheetFormatPr defaultColWidth="11.421875" defaultRowHeight="12.75"/>
  <cols>
    <col min="1" max="1" width="6.00390625" style="66" customWidth="1"/>
    <col min="2" max="2" width="4.7109375" style="66" bestFit="1" customWidth="1"/>
    <col min="3" max="3" width="3.00390625" style="66" bestFit="1" customWidth="1"/>
    <col min="4" max="5" width="18.8515625" style="66" bestFit="1" customWidth="1"/>
    <col min="6" max="7" width="4.28125" style="67" customWidth="1"/>
    <col min="8" max="9" width="4.7109375" style="67" customWidth="1"/>
    <col min="10" max="10" width="4.57421875" style="67" customWidth="1"/>
    <col min="11" max="11" width="5.00390625" style="67" customWidth="1"/>
    <col min="12" max="12" width="4.57421875" style="67" customWidth="1"/>
    <col min="13" max="13" width="21.7109375" style="79" customWidth="1"/>
    <col min="14" max="15" width="4.421875" style="66" customWidth="1"/>
    <col min="16" max="17" width="4.28125" style="66" customWidth="1"/>
    <col min="18" max="19" width="4.421875" style="66" customWidth="1"/>
    <col min="20" max="21" width="3.28125" style="66" customWidth="1"/>
    <col min="22" max="22" width="3.00390625" style="66" customWidth="1"/>
    <col min="23" max="23" width="15.28125" style="66" customWidth="1"/>
    <col min="24" max="24" width="3.8515625" style="66" customWidth="1"/>
    <col min="25" max="25" width="2.28125" style="66" customWidth="1"/>
    <col min="26" max="26" width="3.7109375" style="66" customWidth="1"/>
    <col min="27" max="27" width="3.57421875" style="66" customWidth="1"/>
    <col min="28" max="28" width="4.28125" style="66" customWidth="1"/>
    <col min="29" max="29" width="4.7109375" style="66" customWidth="1"/>
    <col min="30" max="30" width="4.57421875" style="66" customWidth="1"/>
    <col min="31" max="34" width="5.57421875" style="66" customWidth="1"/>
    <col min="35" max="35" width="3.57421875" style="66" customWidth="1"/>
    <col min="36" max="36" width="3.8515625" style="66" customWidth="1"/>
    <col min="37" max="37" width="3.140625" style="66" customWidth="1"/>
    <col min="38" max="43" width="3.00390625" style="66" customWidth="1"/>
    <col min="44" max="44" width="6.421875" style="66" customWidth="1"/>
    <col min="45" max="45" width="6.8515625" style="66" customWidth="1"/>
    <col min="46" max="46" width="6.7109375" style="66" bestFit="1" customWidth="1"/>
    <col min="47" max="47" width="0" style="66" hidden="1" customWidth="1"/>
    <col min="48" max="48" width="4.57421875" style="66" hidden="1" customWidth="1"/>
    <col min="49" max="16384" width="11.421875" style="66" customWidth="1"/>
  </cols>
  <sheetData>
    <row r="1" spans="13:40" ht="10.5" customHeight="1" thickBot="1">
      <c r="M1" s="134" t="str">
        <f>"Freie Tische"&amp;" -"&amp;Auslosung_Turnierdaten!N9&amp;Auslosung_Turnierdaten!N10&amp;Auslosung_Turnierdaten!N11&amp;Auslosung_Turnierdaten!N12&amp;Auslosung_Turnierdaten!N13&amp;Auslosung_Turnierdaten!N14&amp;Auslosung_Turnierdaten!N15&amp;Auslosung_Turnierdaten!N16</f>
        <v>Freie Tische -</v>
      </c>
      <c r="AL1" s="117"/>
      <c r="AM1" s="118"/>
      <c r="AN1" s="119"/>
    </row>
    <row r="2" spans="3:46" ht="11.25" thickBot="1">
      <c r="C2" s="68"/>
      <c r="D2" s="69" t="s">
        <v>10</v>
      </c>
      <c r="E2" s="70" t="s">
        <v>11</v>
      </c>
      <c r="F2" s="120" t="s">
        <v>12</v>
      </c>
      <c r="G2" s="121" t="s">
        <v>13</v>
      </c>
      <c r="H2" s="122" t="s">
        <v>14</v>
      </c>
      <c r="I2" s="122" t="s">
        <v>15</v>
      </c>
      <c r="J2" s="122" t="s">
        <v>16</v>
      </c>
      <c r="K2" s="123" t="s">
        <v>17</v>
      </c>
      <c r="L2" s="133" t="s">
        <v>45</v>
      </c>
      <c r="M2" s="135" t="str">
        <f>"-"&amp;Auslosung_Turnierdaten!N17&amp;Auslosung_Turnierdaten!N18&amp;Auslosung_Turnierdaten!N19&amp;Auslosung_Turnierdaten!N20&amp;Auslosung_Turnierdaten!N21&amp;Auslosung_Turnierdaten!N22&amp;Auslosung_Turnierdaten!N23&amp;Auslosung_Turnierdaten!N24</f>
        <v>-</v>
      </c>
      <c r="N2" s="66" t="s">
        <v>18</v>
      </c>
      <c r="O2" s="66" t="s">
        <v>18</v>
      </c>
      <c r="P2" s="66" t="s">
        <v>19</v>
      </c>
      <c r="Q2" s="66" t="s">
        <v>20</v>
      </c>
      <c r="R2" s="66" t="s">
        <v>21</v>
      </c>
      <c r="S2" s="66" t="s">
        <v>22</v>
      </c>
      <c r="T2" s="66" t="s">
        <v>23</v>
      </c>
      <c r="U2" s="66" t="s">
        <v>24</v>
      </c>
      <c r="V2" s="66" t="s">
        <v>25</v>
      </c>
      <c r="W2" s="66" t="s">
        <v>26</v>
      </c>
      <c r="X2" s="66" t="s">
        <v>27</v>
      </c>
      <c r="Y2" s="66" t="s">
        <v>28</v>
      </c>
      <c r="Z2" s="66" t="s">
        <v>8</v>
      </c>
      <c r="AA2" s="66" t="s">
        <v>9</v>
      </c>
      <c r="AB2" s="66" t="s">
        <v>29</v>
      </c>
      <c r="AC2" s="66" t="s">
        <v>30</v>
      </c>
      <c r="AD2" s="66" t="s">
        <v>31</v>
      </c>
      <c r="AE2" s="66" t="s">
        <v>32</v>
      </c>
      <c r="AF2" s="66" t="s">
        <v>33</v>
      </c>
      <c r="AG2" s="66" t="s">
        <v>34</v>
      </c>
      <c r="AH2" s="66" t="s">
        <v>35</v>
      </c>
      <c r="AI2" s="66" t="s">
        <v>36</v>
      </c>
      <c r="AL2" s="124"/>
      <c r="AM2" s="125"/>
      <c r="AN2" s="126"/>
      <c r="AR2" s="149" t="s">
        <v>142</v>
      </c>
      <c r="AS2" s="149" t="s">
        <v>141</v>
      </c>
      <c r="AT2" s="149" t="s">
        <v>143</v>
      </c>
    </row>
    <row r="3" spans="2:48" ht="11.25" thickBot="1">
      <c r="B3" s="71" t="s">
        <v>38</v>
      </c>
      <c r="C3" s="72">
        <v>1</v>
      </c>
      <c r="D3" s="73" t="str">
        <f>IF(W3="Freilos","Freilos",IF(W3="","Spieler 1",W3))</f>
        <v>Kuloyants, Valery [34790]</v>
      </c>
      <c r="E3" s="74" t="str">
        <f>IF(W19="Freilos","Freilos",IF(W19="","Spieler 17",W19))</f>
        <v>Ruths, Georg [40922]</v>
      </c>
      <c r="F3" s="156">
        <v>75</v>
      </c>
      <c r="G3" s="157">
        <v>35</v>
      </c>
      <c r="H3" s="157">
        <v>14</v>
      </c>
      <c r="I3" s="157">
        <v>14</v>
      </c>
      <c r="J3" s="157">
        <v>21</v>
      </c>
      <c r="K3" s="191">
        <v>8</v>
      </c>
      <c r="L3" s="158">
        <v>1</v>
      </c>
      <c r="M3" s="75"/>
      <c r="N3" s="66">
        <f>F3+G3</f>
        <v>110</v>
      </c>
      <c r="O3" s="66">
        <f>N3</f>
        <v>110</v>
      </c>
      <c r="P3" s="66">
        <f>IF(D3="Freilos",0,IF(F3&lt;G3,1,IF(F3&gt;G3,1,0)))</f>
        <v>1</v>
      </c>
      <c r="Q3" s="66">
        <f>IF(D3="Freilos",0,IF(F3&lt;G3,1,IF(F3&gt;G3,1,0)))</f>
        <v>1</v>
      </c>
      <c r="R3" s="66">
        <f>IF(D3="Freilos",0,IF(F3&gt;G3,1,0))</f>
        <v>1</v>
      </c>
      <c r="S3" s="66">
        <f>IF(D3="Freilos",0,IF(G3&gt;F3,1,0))</f>
        <v>0</v>
      </c>
      <c r="T3" s="127">
        <f>IF(E3="Freilos",3,IF(F3&gt;G3,3,0))</f>
        <v>3</v>
      </c>
      <c r="U3" s="127">
        <f>IF(D3="Freilos",3,IF(G3&gt;F3,3,0))</f>
        <v>0</v>
      </c>
      <c r="V3" s="66">
        <v>1</v>
      </c>
      <c r="W3" s="66" t="str">
        <f>IF(Auslosung_Turnierdaten!F9="","Spieler 1",Auslosung_Turnierdaten!F9)</f>
        <v>Kuloyants, Valery [34790]</v>
      </c>
      <c r="X3" s="66">
        <f aca="true" t="shared" si="0" ref="X3:X34">IF(W3="Freilos",0,SUMIF($D$3:$E$62,W3,$T$3:$U$65))</f>
        <v>18</v>
      </c>
      <c r="Y3" s="66">
        <f aca="true" t="shared" si="1" ref="Y3:Y34">SUMIF($D$3:$E$62,W3,$P$3:$Q$65)</f>
        <v>8</v>
      </c>
      <c r="Z3" s="66">
        <f aca="true" t="shared" si="2" ref="Z3:Z34">SUMIF($D$3:$E$62,W3,$R$3:$S$65)</f>
        <v>6</v>
      </c>
      <c r="AA3" s="66">
        <f>Y3-Z3</f>
        <v>2</v>
      </c>
      <c r="AB3" s="66">
        <f aca="true" t="shared" si="3" ref="AB3:AB34">SUMIF($D$3:$E$62,W3,$N$3:$O$65)</f>
        <v>899</v>
      </c>
      <c r="AC3" s="66">
        <f aca="true" t="shared" si="4" ref="AC3:AC34">SUMIF($D$3:$E$62,W3,$F$3:$G$62)</f>
        <v>584</v>
      </c>
      <c r="AD3" s="66">
        <f>AB3-AC3</f>
        <v>315</v>
      </c>
      <c r="AE3" s="128">
        <f>IF(AD3&gt;0,AC3/AD3,AC3*1.000000001)</f>
        <v>1.853968253968254</v>
      </c>
      <c r="AF3" s="66">
        <f aca="true" t="shared" si="5" ref="AF3:AF34">SUMIF($D$3:$E$62,W3,$H$3:$I$62)</f>
        <v>62</v>
      </c>
      <c r="AG3" s="128">
        <f>IF(AF3&gt;0,AC3/AF3,0)</f>
        <v>9.419354838709678</v>
      </c>
      <c r="AH3" s="128">
        <f aca="true" t="shared" si="6" ref="AH3:AH34">MAX(AJ3:AK3)</f>
        <v>75</v>
      </c>
      <c r="AI3" s="66">
        <f>MAX(SUMIF($D$3:$E$18,W3,$J$3:$K$18),SUMIF($D$19:$E$34,W3,$J$19:$K$34),SUMIF($D$35:$E$42,W3,$J$35:$K$42),SUMIF($D$43:$E$50,W3,$J$43:$K$50),SUMIF($D$51:$E$54,W3,$J$51:$K$54),SUMIF($D$55:$E$58,W3,$J$55:$K$58),SUMIF($D$59:$E$60,W3,$J$59:$K$60),SUMIF($D$61:$E$62,W3,$J$61:$K$62))</f>
        <v>75</v>
      </c>
      <c r="AJ3" s="66">
        <f aca="true" t="shared" si="7" ref="AJ3:AJ18">MAX(IF(AND(SUMIF($D$3:$E$18,W3,$H$3:$I$18)&gt;0,SUMIF($D$3:$E$18,W3,$R$3:$S$18)&gt;0),SUMIF($D$3:$E$18,W3,$F$3:$G$18)/SUMIF($D$3:$E$18,W3,$H$3:$I$18),0),IF(AND(SUMIF($D$19:$E$34,W3,$H$19:$I$34)&gt;0,SUMIF($D$19:$E$34,W3,$R$19:$S$34)&gt;0),SUMIF($D$19:$E$34,W3,$F$19:$G$34)/SUMIF($D$19:$E$34,W3,$H$19:$I$34),0),IF(AND(SUMIF($D$35:$E$42,W3,$H$35:$I$42)&gt;0,SUMIF($D$35:$E$42,W3,$R$35:$S$42)&gt;0),SUMIF($D$35:$E$42,W3,$F$35:$G$42)/SUMIF($D$35:$E$42,W3,$H$35:$I$42),0),IF(AND(SUMIF($D$43:$E$50,W3,$H$43:$I$50)&gt;0,SUMIF($D$43:$E$50,W3,$R$43:$S$50)&gt;0),SUMIF($D$43:$E$50,W3,$F$43:$G$50)/SUMIF($D$43:$E$50,W3,$H$43:$I$50),0),IF(AND(SUMIF($D$51:$E$54,W3,$H$51:$I$54)&gt;0,SUMIF($D$51:$E$54,W3,$R$51:$S$54)&gt;0),SUMIF($D$51:$E$54,W3,$F$51:$G$54)/SUMIF($D$51:$E$54,W3,$H$51:$I$54),0))</f>
        <v>75</v>
      </c>
      <c r="AK3" s="66">
        <f aca="true" t="shared" si="8" ref="AK3:AK18">MAX(IF(AND(SUMIF($D$55:$E$58,W3,$H$55:$I$58)&gt;0,SUMIF($D$55:$E$58,W3,$R$55:$S$58)&gt;0),SUMIF($D$55:$E$58,W3,$F$55:$G$58)/SUMIF($D$55:$E$58,W3,$H$55:$I$58),0),IF(AND(SUMIF($D$59:$E$60,W3,$H$59:$I$60)&gt;0,SUMIF($D$59:$E$60,W3,$R$59:$S$60)&gt;0),SUMIF($D$59:$E$60,W3,$F$59:$G$60)/SUMIF($D$59:$E$60,W3,$H$59:$I$60),0),IF(AND(SUMIF($D$61:$E$62,W3,$H$61:$I$61)&gt;0,SUMIF($D$61:$E$62,W3,$R$61:$S$62)&gt;0),SUMIF($D$61:$E$62,W3,$F$61:$G$62)/SUMIF($D$61:$E$62,W3,$H$61:$I$62),0))</f>
        <v>15</v>
      </c>
      <c r="AL3" s="124"/>
      <c r="AM3" s="125"/>
      <c r="AN3" s="126"/>
      <c r="AO3" s="66">
        <f>IF(T3+U3&gt;0,"",L3)</f>
      </c>
      <c r="AQ3" s="66">
        <f>IF(OR(D3="Freilos",E3="Freilos"),1,"")</f>
      </c>
      <c r="AR3" s="179"/>
      <c r="AS3" s="179"/>
      <c r="AT3" s="180">
        <f>IF(AS3&gt;AR3,IF(AND(AQ3="",AS3=""),"",AS3-AR3),"")</f>
      </c>
      <c r="AV3" s="66">
        <f>IF(AND(COUNTIF(L3:L3:L3:$L$62,L3)=1,F3+G3&gt;0),L3&amp;"-","")</f>
      </c>
    </row>
    <row r="4" spans="3:48" ht="10.5">
      <c r="C4" s="72">
        <v>2</v>
      </c>
      <c r="D4" s="76" t="str">
        <f>IF(W11="Freilos","Freilos",IF(W11="","Spieler 9",W11))</f>
        <v>Obermeier, Andreas [29213]</v>
      </c>
      <c r="E4" s="77" t="str">
        <f>IF(W27="Freilos","Freilos",IF(W27="","Spieler 25",W27))</f>
        <v>Caranica, Philipp [32781]</v>
      </c>
      <c r="F4" s="159">
        <v>75</v>
      </c>
      <c r="G4" s="160">
        <v>49</v>
      </c>
      <c r="H4" s="160">
        <v>13</v>
      </c>
      <c r="I4" s="160">
        <v>12</v>
      </c>
      <c r="J4" s="160">
        <v>21</v>
      </c>
      <c r="K4" s="192">
        <v>19</v>
      </c>
      <c r="L4" s="161">
        <v>2</v>
      </c>
      <c r="M4" s="75"/>
      <c r="N4" s="66">
        <f aca="true" t="shared" si="9" ref="N4:N62">F4+G4</f>
        <v>124</v>
      </c>
      <c r="O4" s="66">
        <f aca="true" t="shared" si="10" ref="O4:O62">N4</f>
        <v>124</v>
      </c>
      <c r="P4" s="66">
        <f aca="true" t="shared" si="11" ref="P4:P62">IF(D4="Freilos",0,IF(F4&lt;G4,1,IF(F4&gt;G4,1,0)))</f>
        <v>1</v>
      </c>
      <c r="Q4" s="66">
        <f>IF(D4="Freilos",0,IF(F4&lt;G4,1,IF(F4&gt;G4,1,0)))</f>
        <v>1</v>
      </c>
      <c r="R4" s="66">
        <f aca="true" t="shared" si="12" ref="R4:R62">IF(D4="Freilos",0,IF(F4&gt;G4,1,0))</f>
        <v>1</v>
      </c>
      <c r="S4" s="66">
        <f aca="true" t="shared" si="13" ref="S4:S62">IF(D4="Freilos",0,IF(G4&gt;F4,1,0))</f>
        <v>0</v>
      </c>
      <c r="T4" s="127">
        <f aca="true" t="shared" si="14" ref="T4:T62">IF(E4="Freilos",3,IF(F4&gt;G4,3,0))</f>
        <v>3</v>
      </c>
      <c r="U4" s="127">
        <f aca="true" t="shared" si="15" ref="U4:U62">IF(D4="Freilos",3,IF(G4&gt;F4,3,0))</f>
        <v>0</v>
      </c>
      <c r="V4" s="66">
        <v>2</v>
      </c>
      <c r="W4" s="66" t="str">
        <f>IF(Auslosung_Turnierdaten!F10="","Spieler 2",Auslosung_Turnierdaten!F10)</f>
        <v>Höcht, Stefan [22445]</v>
      </c>
      <c r="X4" s="66">
        <f t="shared" si="0"/>
        <v>0</v>
      </c>
      <c r="Y4" s="66">
        <f t="shared" si="1"/>
        <v>2</v>
      </c>
      <c r="Z4" s="66">
        <f t="shared" si="2"/>
        <v>0</v>
      </c>
      <c r="AA4" s="66">
        <f aca="true" t="shared" si="16" ref="AA4:AA34">Y4-Z4</f>
        <v>2</v>
      </c>
      <c r="AB4" s="66">
        <f t="shared" si="3"/>
        <v>275</v>
      </c>
      <c r="AC4" s="66">
        <f t="shared" si="4"/>
        <v>125</v>
      </c>
      <c r="AD4" s="66">
        <f aca="true" t="shared" si="17" ref="AD4:AD34">AB4-AC4</f>
        <v>150</v>
      </c>
      <c r="AE4" s="128">
        <f aca="true" t="shared" si="18" ref="AE4:AE34">IF(AD4&gt;0,AC4/AD4,AC4*1.000000001)</f>
        <v>0.8333333333333334</v>
      </c>
      <c r="AF4" s="66">
        <f t="shared" si="5"/>
        <v>44</v>
      </c>
      <c r="AG4" s="128">
        <f aca="true" t="shared" si="19" ref="AG4:AG34">IF(AF4&gt;0,AC4/AF4,0)</f>
        <v>2.840909090909091</v>
      </c>
      <c r="AH4" s="128">
        <f t="shared" si="6"/>
        <v>0</v>
      </c>
      <c r="AI4" s="66">
        <f aca="true" t="shared" si="20" ref="AI4:AI34">MAX(SUMIF($D$3:$E$18,W4,$J$3:$K$18),SUMIF($D$19:$E$34,W4,$J$19:$K$34),SUMIF($D$35:$E$42,W4,$J$35:$K$42),SUMIF($D$43:$E$50,W4,$J$43:$K$50),SUMIF($D$51:$E$54,W4,$J$51:$K$54),SUMIF($D$55:$E$58,W4,$J$55:$K$58),SUMIF($D$59:$E$60,W4,$J$59:$K$60),SUMIF($D$61:$E$62,W4,$J$61:$K$62))</f>
        <v>18</v>
      </c>
      <c r="AJ4" s="66">
        <f t="shared" si="7"/>
        <v>0</v>
      </c>
      <c r="AK4" s="66">
        <f t="shared" si="8"/>
        <v>0</v>
      </c>
      <c r="AL4" s="124"/>
      <c r="AM4" s="125"/>
      <c r="AN4" s="126"/>
      <c r="AO4" s="66">
        <f aca="true" t="shared" si="21" ref="AO4:AO62">IF(T4+U4&gt;0,"",L4)</f>
      </c>
      <c r="AQ4" s="66">
        <f aca="true" t="shared" si="22" ref="AQ4:AQ62">IF(OR(D4="Freilos",E4="Freilos"),1,"")</f>
      </c>
      <c r="AR4" s="179"/>
      <c r="AS4" s="179"/>
      <c r="AT4" s="180">
        <f aca="true" t="shared" si="23" ref="AT4:AT62">IF(AS4&gt;AR4,IF(AND(AQ4="",AS4=""),"",AS4-AR4),"")</f>
      </c>
      <c r="AV4" s="66">
        <f>IF(AND(COUNTIF(L4:L4:L4:$L$62,L4)=1,F4+G4&gt;0),L4&amp;"-","")</f>
      </c>
    </row>
    <row r="5" spans="3:48" ht="10.5">
      <c r="C5" s="72">
        <v>3</v>
      </c>
      <c r="D5" s="76" t="str">
        <f>IF(W7="Freilos","Freilos",IF(W7="","Spieler 5",W7))</f>
        <v>Meister, Martin [19054]</v>
      </c>
      <c r="E5" s="77" t="str">
        <f>IF(W23="Freilos","Freilos",IF(W23="","Spieler 21",W23))</f>
        <v>Schmid, Andreas [18352]</v>
      </c>
      <c r="F5" s="159">
        <v>0</v>
      </c>
      <c r="G5" s="160">
        <v>75</v>
      </c>
      <c r="H5" s="160"/>
      <c r="I5" s="160"/>
      <c r="J5" s="160"/>
      <c r="K5" s="192"/>
      <c r="L5" s="161">
        <v>3</v>
      </c>
      <c r="M5" s="75"/>
      <c r="N5" s="66">
        <f t="shared" si="9"/>
        <v>75</v>
      </c>
      <c r="O5" s="66">
        <f t="shared" si="10"/>
        <v>75</v>
      </c>
      <c r="P5" s="66">
        <f t="shared" si="11"/>
        <v>1</v>
      </c>
      <c r="Q5" s="66">
        <f aca="true" t="shared" si="24" ref="Q5:Q62">IF(D5="Freilos",0,IF(F5&lt;G5,1,IF(F5&gt;G5,1,0)))</f>
        <v>1</v>
      </c>
      <c r="R5" s="66">
        <f t="shared" si="12"/>
        <v>0</v>
      </c>
      <c r="S5" s="66">
        <f t="shared" si="13"/>
        <v>1</v>
      </c>
      <c r="T5" s="127">
        <f t="shared" si="14"/>
        <v>0</v>
      </c>
      <c r="U5" s="127">
        <f t="shared" si="15"/>
        <v>3</v>
      </c>
      <c r="V5" s="66">
        <v>3</v>
      </c>
      <c r="W5" s="66" t="str">
        <f>IF(Auslosung_Turnierdaten!F11="","Spieler 3",Auslosung_Turnierdaten!F11)</f>
        <v>Schnürch, Martin [23070]</v>
      </c>
      <c r="X5" s="66">
        <f t="shared" si="0"/>
        <v>3</v>
      </c>
      <c r="Y5" s="66">
        <f t="shared" si="1"/>
        <v>3</v>
      </c>
      <c r="Z5" s="66">
        <f t="shared" si="2"/>
        <v>1</v>
      </c>
      <c r="AA5" s="66">
        <f t="shared" si="16"/>
        <v>2</v>
      </c>
      <c r="AB5" s="66">
        <f t="shared" si="3"/>
        <v>371</v>
      </c>
      <c r="AC5" s="66">
        <f t="shared" si="4"/>
        <v>170</v>
      </c>
      <c r="AD5" s="66">
        <f t="shared" si="17"/>
        <v>201</v>
      </c>
      <c r="AE5" s="128">
        <f t="shared" si="18"/>
        <v>0.845771144278607</v>
      </c>
      <c r="AF5" s="66">
        <f t="shared" si="5"/>
        <v>39</v>
      </c>
      <c r="AG5" s="128">
        <f t="shared" si="19"/>
        <v>4.358974358974359</v>
      </c>
      <c r="AH5" s="128">
        <f t="shared" si="6"/>
        <v>3.9473684210526314</v>
      </c>
      <c r="AI5" s="66">
        <f t="shared" si="20"/>
        <v>28</v>
      </c>
      <c r="AJ5" s="66">
        <f t="shared" si="7"/>
        <v>3.9473684210526314</v>
      </c>
      <c r="AK5" s="66">
        <f t="shared" si="8"/>
        <v>0</v>
      </c>
      <c r="AL5" s="124"/>
      <c r="AM5" s="125"/>
      <c r="AN5" s="126"/>
      <c r="AO5" s="66">
        <f t="shared" si="21"/>
      </c>
      <c r="AQ5" s="66">
        <f t="shared" si="22"/>
      </c>
      <c r="AR5" s="179"/>
      <c r="AS5" s="179"/>
      <c r="AT5" s="180">
        <f t="shared" si="23"/>
      </c>
      <c r="AV5" s="66">
        <f>IF(AND(COUNTIF(L5:L5:L5:$L$62,L5)=1,F5+G5&gt;0),L5&amp;"-","")</f>
      </c>
    </row>
    <row r="6" spans="3:48" ht="10.5">
      <c r="C6" s="72">
        <v>4</v>
      </c>
      <c r="D6" s="76" t="str">
        <f>IF(W15="Freilos","Freilos",IF(W15="","Spieler 13",W15))</f>
        <v>Mader, Martin [26601]</v>
      </c>
      <c r="E6" s="77" t="str">
        <f>IF(W31="Freilos","Freilos",IF(W31="","Spieler 29",W31))</f>
        <v>Dingler, Christian [20927]</v>
      </c>
      <c r="F6" s="159">
        <v>72</v>
      </c>
      <c r="G6" s="160">
        <v>75</v>
      </c>
      <c r="H6" s="160">
        <v>16</v>
      </c>
      <c r="I6" s="160">
        <v>16</v>
      </c>
      <c r="J6" s="160">
        <v>24</v>
      </c>
      <c r="K6" s="192">
        <v>29</v>
      </c>
      <c r="L6" s="161">
        <v>4</v>
      </c>
      <c r="M6" s="75"/>
      <c r="N6" s="66">
        <f t="shared" si="9"/>
        <v>147</v>
      </c>
      <c r="O6" s="66">
        <f t="shared" si="10"/>
        <v>147</v>
      </c>
      <c r="P6" s="66">
        <f t="shared" si="11"/>
        <v>1</v>
      </c>
      <c r="Q6" s="66">
        <f t="shared" si="24"/>
        <v>1</v>
      </c>
      <c r="R6" s="66">
        <f t="shared" si="12"/>
        <v>0</v>
      </c>
      <c r="S6" s="66">
        <f t="shared" si="13"/>
        <v>1</v>
      </c>
      <c r="T6" s="127">
        <f t="shared" si="14"/>
        <v>0</v>
      </c>
      <c r="U6" s="127">
        <f t="shared" si="15"/>
        <v>3</v>
      </c>
      <c r="V6" s="66">
        <v>4</v>
      </c>
      <c r="W6" s="66" t="str">
        <f>IF(Auslosung_Turnierdaten!F12="","Spieler 4",Auslosung_Turnierdaten!F12)</f>
        <v>Sohal, Tony [37510]</v>
      </c>
      <c r="X6" s="66">
        <f t="shared" si="0"/>
        <v>3</v>
      </c>
      <c r="Y6" s="66">
        <f t="shared" si="1"/>
        <v>3</v>
      </c>
      <c r="Z6" s="66">
        <f t="shared" si="2"/>
        <v>1</v>
      </c>
      <c r="AA6" s="66">
        <f t="shared" si="16"/>
        <v>2</v>
      </c>
      <c r="AB6" s="66">
        <f t="shared" si="3"/>
        <v>395</v>
      </c>
      <c r="AC6" s="66">
        <f t="shared" si="4"/>
        <v>176</v>
      </c>
      <c r="AD6" s="66">
        <f t="shared" si="17"/>
        <v>219</v>
      </c>
      <c r="AE6" s="128">
        <f t="shared" si="18"/>
        <v>0.8036529680365296</v>
      </c>
      <c r="AF6" s="66">
        <f t="shared" si="5"/>
        <v>73</v>
      </c>
      <c r="AG6" s="128">
        <f t="shared" si="19"/>
        <v>2.410958904109589</v>
      </c>
      <c r="AH6" s="128">
        <f t="shared" si="6"/>
        <v>2.34375</v>
      </c>
      <c r="AI6" s="66">
        <f t="shared" si="20"/>
        <v>11</v>
      </c>
      <c r="AJ6" s="66">
        <f t="shared" si="7"/>
        <v>2.34375</v>
      </c>
      <c r="AK6" s="66">
        <f t="shared" si="8"/>
        <v>0</v>
      </c>
      <c r="AL6" s="124"/>
      <c r="AM6" s="125"/>
      <c r="AN6" s="126"/>
      <c r="AO6" s="66">
        <f t="shared" si="21"/>
      </c>
      <c r="AQ6" s="66">
        <f t="shared" si="22"/>
      </c>
      <c r="AR6" s="179"/>
      <c r="AS6" s="179"/>
      <c r="AT6" s="180">
        <f t="shared" si="23"/>
      </c>
      <c r="AV6" s="66" t="str">
        <f>IF(AND(COUNTIF(L6:L6:L6:$L$62,L6)=1,F6+G6&gt;0),L6&amp;"-","")</f>
        <v>4-</v>
      </c>
    </row>
    <row r="7" spans="3:48" ht="10.5">
      <c r="C7" s="72">
        <v>5</v>
      </c>
      <c r="D7" s="76" t="str">
        <f>IF(W5="Freilos","Freilos",IF(W5="","Spieler 3",W5))</f>
        <v>Schnürch, Martin [23070]</v>
      </c>
      <c r="E7" s="77" t="str">
        <f>IF(W21="Freilos","Freilos",IF(W21="","Spieler 19",W21))</f>
        <v>Kömürcü, Levent [20064]</v>
      </c>
      <c r="F7" s="159">
        <v>75</v>
      </c>
      <c r="G7" s="160">
        <v>51</v>
      </c>
      <c r="H7" s="160">
        <v>19</v>
      </c>
      <c r="I7" s="160">
        <v>18</v>
      </c>
      <c r="J7" s="160">
        <v>14</v>
      </c>
      <c r="K7" s="192">
        <v>22</v>
      </c>
      <c r="L7" s="161">
        <v>5</v>
      </c>
      <c r="M7" s="75"/>
      <c r="N7" s="66">
        <f t="shared" si="9"/>
        <v>126</v>
      </c>
      <c r="O7" s="66">
        <f t="shared" si="10"/>
        <v>126</v>
      </c>
      <c r="P7" s="66">
        <f t="shared" si="11"/>
        <v>1</v>
      </c>
      <c r="Q7" s="66">
        <f t="shared" si="24"/>
        <v>1</v>
      </c>
      <c r="R7" s="66">
        <f t="shared" si="12"/>
        <v>1</v>
      </c>
      <c r="S7" s="66">
        <f t="shared" si="13"/>
        <v>0</v>
      </c>
      <c r="T7" s="127">
        <f t="shared" si="14"/>
        <v>3</v>
      </c>
      <c r="U7" s="127">
        <f t="shared" si="15"/>
        <v>0</v>
      </c>
      <c r="V7" s="66">
        <v>5</v>
      </c>
      <c r="W7" s="66" t="str">
        <f>IF(Auslosung_Turnierdaten!F13="","Spieler 5",Auslosung_Turnierdaten!F13)</f>
        <v>Meister, Martin [19054]</v>
      </c>
      <c r="X7" s="66">
        <f t="shared" si="0"/>
        <v>6</v>
      </c>
      <c r="Y7" s="66">
        <f t="shared" si="1"/>
        <v>4</v>
      </c>
      <c r="Z7" s="66">
        <f t="shared" si="2"/>
        <v>2</v>
      </c>
      <c r="AA7" s="66">
        <f t="shared" si="16"/>
        <v>2</v>
      </c>
      <c r="AB7" s="66">
        <f t="shared" si="3"/>
        <v>423</v>
      </c>
      <c r="AC7" s="66">
        <f t="shared" si="4"/>
        <v>188</v>
      </c>
      <c r="AD7" s="66">
        <f t="shared" si="17"/>
        <v>235</v>
      </c>
      <c r="AE7" s="128">
        <f t="shared" si="18"/>
        <v>0.8</v>
      </c>
      <c r="AF7" s="66">
        <f t="shared" si="5"/>
        <v>44</v>
      </c>
      <c r="AG7" s="128">
        <f t="shared" si="19"/>
        <v>4.2727272727272725</v>
      </c>
      <c r="AH7" s="128">
        <f t="shared" si="6"/>
        <v>6.818181818181818</v>
      </c>
      <c r="AI7" s="66">
        <f t="shared" si="20"/>
        <v>34</v>
      </c>
      <c r="AJ7" s="66">
        <f t="shared" si="7"/>
        <v>6.818181818181818</v>
      </c>
      <c r="AK7" s="66">
        <f t="shared" si="8"/>
        <v>0</v>
      </c>
      <c r="AL7" s="124"/>
      <c r="AM7" s="125"/>
      <c r="AN7" s="126"/>
      <c r="AO7" s="66">
        <f t="shared" si="21"/>
      </c>
      <c r="AQ7" s="66">
        <f t="shared" si="22"/>
      </c>
      <c r="AR7" s="179"/>
      <c r="AS7" s="179"/>
      <c r="AT7" s="180">
        <f t="shared" si="23"/>
      </c>
      <c r="AV7" s="66">
        <f>IF(AND(COUNTIF(L7:L7:L7:$L$62,L7)=1,F7+G7&gt;0),L7&amp;"-","")</f>
      </c>
    </row>
    <row r="8" spans="1:48" ht="10.5">
      <c r="A8" s="78"/>
      <c r="C8" s="72">
        <v>6</v>
      </c>
      <c r="D8" s="76" t="str">
        <f>IF(W13="Freilos","Freilos",IF(W13="","Spieler 11",W13))</f>
        <v>Heimmerer, Benjamin [34073]</v>
      </c>
      <c r="E8" s="77" t="str">
        <f>IF(W29="Freilos","Freilos",IF(W29="","Spieler 27",W29))</f>
        <v>Hirschbichler, Robert [22548]</v>
      </c>
      <c r="F8" s="159">
        <v>20</v>
      </c>
      <c r="G8" s="160">
        <v>75</v>
      </c>
      <c r="H8" s="160">
        <v>9</v>
      </c>
      <c r="I8" s="160">
        <v>9</v>
      </c>
      <c r="J8" s="160">
        <v>12</v>
      </c>
      <c r="K8" s="192">
        <v>24</v>
      </c>
      <c r="L8" s="161">
        <v>7</v>
      </c>
      <c r="M8" s="75"/>
      <c r="N8" s="66">
        <f t="shared" si="9"/>
        <v>95</v>
      </c>
      <c r="O8" s="66">
        <f t="shared" si="10"/>
        <v>95</v>
      </c>
      <c r="P8" s="66">
        <f t="shared" si="11"/>
        <v>1</v>
      </c>
      <c r="Q8" s="66">
        <f t="shared" si="24"/>
        <v>1</v>
      </c>
      <c r="R8" s="66">
        <f t="shared" si="12"/>
        <v>0</v>
      </c>
      <c r="S8" s="66">
        <f t="shared" si="13"/>
        <v>1</v>
      </c>
      <c r="T8" s="127">
        <f t="shared" si="14"/>
        <v>0</v>
      </c>
      <c r="U8" s="127">
        <f t="shared" si="15"/>
        <v>3</v>
      </c>
      <c r="V8" s="66">
        <v>6</v>
      </c>
      <c r="W8" s="66" t="str">
        <f>IF(Auslosung_Turnierdaten!F14="","Spieler 6",Auslosung_Turnierdaten!F14)</f>
        <v>Scholz, Jürgen [35124]</v>
      </c>
      <c r="X8" s="66">
        <f t="shared" si="0"/>
        <v>12</v>
      </c>
      <c r="Y8" s="66">
        <f t="shared" si="1"/>
        <v>4</v>
      </c>
      <c r="Z8" s="66">
        <f t="shared" si="2"/>
        <v>3</v>
      </c>
      <c r="AA8" s="66">
        <f t="shared" si="16"/>
        <v>1</v>
      </c>
      <c r="AB8" s="66">
        <f t="shared" si="3"/>
        <v>512</v>
      </c>
      <c r="AC8" s="66">
        <f t="shared" si="4"/>
        <v>254</v>
      </c>
      <c r="AD8" s="66">
        <f t="shared" si="17"/>
        <v>258</v>
      </c>
      <c r="AE8" s="128">
        <f t="shared" si="18"/>
        <v>0.9844961240310077</v>
      </c>
      <c r="AF8" s="66">
        <f t="shared" si="5"/>
        <v>74</v>
      </c>
      <c r="AG8" s="128">
        <f t="shared" si="19"/>
        <v>3.4324324324324325</v>
      </c>
      <c r="AH8" s="128">
        <f t="shared" si="6"/>
        <v>4.411764705882353</v>
      </c>
      <c r="AI8" s="66">
        <f t="shared" si="20"/>
        <v>27</v>
      </c>
      <c r="AJ8" s="66">
        <f t="shared" si="7"/>
        <v>4.411764705882353</v>
      </c>
      <c r="AK8" s="66">
        <f t="shared" si="8"/>
        <v>0</v>
      </c>
      <c r="AL8" s="124"/>
      <c r="AM8" s="125"/>
      <c r="AN8" s="126"/>
      <c r="AO8" s="66">
        <f t="shared" si="21"/>
      </c>
      <c r="AQ8" s="66">
        <f t="shared" si="22"/>
      </c>
      <c r="AR8" s="179"/>
      <c r="AS8" s="179"/>
      <c r="AT8" s="180">
        <f t="shared" si="23"/>
      </c>
      <c r="AV8" s="66">
        <f>IF(AND(COUNTIF(L8:L8:L8:$L$62,L8)=1,F8+G8&gt;0),L8&amp;"-","")</f>
      </c>
    </row>
    <row r="9" spans="3:48" ht="10.5">
      <c r="C9" s="72">
        <v>7</v>
      </c>
      <c r="D9" s="76" t="str">
        <f>IF(W9="Freilos","Freilos",IF(W9="","Spieler 7",W9))</f>
        <v>Voinescu, Florian [31589]</v>
      </c>
      <c r="E9" s="77" t="str">
        <f>IF(W25="Freilos","Freilos",IF(W25="","Spieler 23",W25))</f>
        <v>Smith, Mike jun. [31558]</v>
      </c>
      <c r="F9" s="159">
        <v>0</v>
      </c>
      <c r="G9" s="160">
        <v>75</v>
      </c>
      <c r="H9" s="160"/>
      <c r="I9" s="160"/>
      <c r="J9" s="160"/>
      <c r="K9" s="192"/>
      <c r="L9" s="161">
        <v>9</v>
      </c>
      <c r="M9" s="75"/>
      <c r="N9" s="66">
        <f t="shared" si="9"/>
        <v>75</v>
      </c>
      <c r="O9" s="66">
        <f t="shared" si="10"/>
        <v>75</v>
      </c>
      <c r="P9" s="66">
        <f t="shared" si="11"/>
        <v>1</v>
      </c>
      <c r="Q9" s="66">
        <f t="shared" si="24"/>
        <v>1</v>
      </c>
      <c r="R9" s="66">
        <f t="shared" si="12"/>
        <v>0</v>
      </c>
      <c r="S9" s="66">
        <f t="shared" si="13"/>
        <v>1</v>
      </c>
      <c r="T9" s="127">
        <f t="shared" si="14"/>
        <v>0</v>
      </c>
      <c r="U9" s="127">
        <f t="shared" si="15"/>
        <v>3</v>
      </c>
      <c r="V9" s="66">
        <v>7</v>
      </c>
      <c r="W9" s="66" t="str">
        <f>IF(Auslosung_Turnierdaten!F15="","Spieler 7",Auslosung_Turnierdaten!F15)</f>
        <v>Voinescu, Florian [31589]</v>
      </c>
      <c r="X9" s="66">
        <f t="shared" si="0"/>
        <v>3</v>
      </c>
      <c r="Y9" s="66">
        <f t="shared" si="1"/>
        <v>3</v>
      </c>
      <c r="Z9" s="66">
        <f t="shared" si="2"/>
        <v>1</v>
      </c>
      <c r="AA9" s="66">
        <f t="shared" si="16"/>
        <v>2</v>
      </c>
      <c r="AB9" s="66">
        <f t="shared" si="3"/>
        <v>329</v>
      </c>
      <c r="AC9" s="66">
        <f t="shared" si="4"/>
        <v>148</v>
      </c>
      <c r="AD9" s="66">
        <f t="shared" si="17"/>
        <v>181</v>
      </c>
      <c r="AE9" s="128">
        <f t="shared" si="18"/>
        <v>0.8176795580110497</v>
      </c>
      <c r="AF9" s="66">
        <f t="shared" si="5"/>
        <v>33</v>
      </c>
      <c r="AG9" s="128">
        <f t="shared" si="19"/>
        <v>4.484848484848484</v>
      </c>
      <c r="AH9" s="128">
        <f t="shared" si="6"/>
        <v>5.357142857142857</v>
      </c>
      <c r="AI9" s="66">
        <f t="shared" si="20"/>
        <v>32</v>
      </c>
      <c r="AJ9" s="66">
        <f t="shared" si="7"/>
        <v>5.357142857142857</v>
      </c>
      <c r="AK9" s="66">
        <f t="shared" si="8"/>
        <v>0</v>
      </c>
      <c r="AL9" s="124"/>
      <c r="AM9" s="125"/>
      <c r="AN9" s="126"/>
      <c r="AO9" s="66">
        <f t="shared" si="21"/>
      </c>
      <c r="AQ9" s="66">
        <f t="shared" si="22"/>
      </c>
      <c r="AR9" s="179"/>
      <c r="AS9" s="179"/>
      <c r="AT9" s="180">
        <f t="shared" si="23"/>
      </c>
      <c r="AV9" s="66">
        <f>IF(AND(COUNTIF(L9:L9:L9:$L$62,L9)=1,F9+G9&gt;0),L9&amp;"-","")</f>
      </c>
    </row>
    <row r="10" spans="3:48" ht="10.5">
      <c r="C10" s="72">
        <v>8</v>
      </c>
      <c r="D10" s="76" t="str">
        <f>IF(W17="Freilos","Freilos",IF(W17="","Spieler 15",W17))</f>
        <v>Braun, Dennis [39840]</v>
      </c>
      <c r="E10" s="77" t="str">
        <f>IF(W33="Freilos","Freilos",IF(W33="","Spieler 31",W33))</f>
        <v>Mayr, Stefan [14899]</v>
      </c>
      <c r="F10" s="159">
        <v>75</v>
      </c>
      <c r="G10" s="160">
        <v>28</v>
      </c>
      <c r="H10" s="160">
        <v>7</v>
      </c>
      <c r="I10" s="160">
        <v>6</v>
      </c>
      <c r="J10" s="160">
        <v>22</v>
      </c>
      <c r="K10" s="192">
        <v>10</v>
      </c>
      <c r="L10" s="161">
        <v>11</v>
      </c>
      <c r="N10" s="66">
        <f t="shared" si="9"/>
        <v>103</v>
      </c>
      <c r="O10" s="66">
        <f t="shared" si="10"/>
        <v>103</v>
      </c>
      <c r="P10" s="66">
        <f t="shared" si="11"/>
        <v>1</v>
      </c>
      <c r="Q10" s="66">
        <f t="shared" si="24"/>
        <v>1</v>
      </c>
      <c r="R10" s="66">
        <f t="shared" si="12"/>
        <v>1</v>
      </c>
      <c r="S10" s="66">
        <f t="shared" si="13"/>
        <v>0</v>
      </c>
      <c r="T10" s="127">
        <f t="shared" si="14"/>
        <v>3</v>
      </c>
      <c r="U10" s="127">
        <f t="shared" si="15"/>
        <v>0</v>
      </c>
      <c r="V10" s="66">
        <v>8</v>
      </c>
      <c r="W10" s="66" t="str">
        <f>IF(Auslosung_Turnierdaten!F16="","Spieler 8",Auslosung_Turnierdaten!F16)</f>
        <v>Au-Yeung, Michael [24627]</v>
      </c>
      <c r="X10" s="66">
        <f t="shared" si="0"/>
        <v>15</v>
      </c>
      <c r="Y10" s="66">
        <f t="shared" si="1"/>
        <v>6</v>
      </c>
      <c r="Z10" s="66">
        <f t="shared" si="2"/>
        <v>4</v>
      </c>
      <c r="AA10" s="66">
        <f t="shared" si="16"/>
        <v>2</v>
      </c>
      <c r="AB10" s="66">
        <f t="shared" si="3"/>
        <v>709</v>
      </c>
      <c r="AC10" s="66">
        <f t="shared" si="4"/>
        <v>378</v>
      </c>
      <c r="AD10" s="66">
        <f t="shared" si="17"/>
        <v>331</v>
      </c>
      <c r="AE10" s="128">
        <f t="shared" si="18"/>
        <v>1.1419939577039275</v>
      </c>
      <c r="AF10" s="66">
        <f t="shared" si="5"/>
        <v>44</v>
      </c>
      <c r="AG10" s="128">
        <f t="shared" si="19"/>
        <v>8.590909090909092</v>
      </c>
      <c r="AH10" s="128">
        <f t="shared" si="6"/>
        <v>12.5</v>
      </c>
      <c r="AI10" s="66">
        <f t="shared" si="20"/>
        <v>33</v>
      </c>
      <c r="AJ10" s="66">
        <f t="shared" si="7"/>
        <v>10.714285714285714</v>
      </c>
      <c r="AK10" s="66">
        <f t="shared" si="8"/>
        <v>12.5</v>
      </c>
      <c r="AL10" s="124"/>
      <c r="AM10" s="125"/>
      <c r="AN10" s="126"/>
      <c r="AO10" s="66">
        <f t="shared" si="21"/>
      </c>
      <c r="AQ10" s="66">
        <f t="shared" si="22"/>
      </c>
      <c r="AR10" s="179"/>
      <c r="AS10" s="179"/>
      <c r="AT10" s="180">
        <f t="shared" si="23"/>
      </c>
      <c r="AV10" s="66">
        <f>IF(AND(COUNTIF(L10:L10:L10:$L$62,L10)=1,F10+G10&gt;0),L10&amp;"-","")</f>
      </c>
    </row>
    <row r="11" spans="3:48" ht="10.5">
      <c r="C11" s="72">
        <v>9</v>
      </c>
      <c r="D11" s="76" t="str">
        <f>IF(W4="Freilos","Freilos",IF(W4="","Spieler 2",W4))</f>
        <v>Höcht, Stefan [22445]</v>
      </c>
      <c r="E11" s="77" t="str">
        <f>IF(W20="Freilos","Freilos",IF(W20="","Spieler 18",W20))</f>
        <v>Uitz, Richard [16651]</v>
      </c>
      <c r="F11" s="159">
        <v>53</v>
      </c>
      <c r="G11" s="160">
        <v>75</v>
      </c>
      <c r="H11" s="160">
        <v>16</v>
      </c>
      <c r="I11" s="160">
        <v>16</v>
      </c>
      <c r="J11" s="160">
        <v>12</v>
      </c>
      <c r="K11" s="192">
        <v>38</v>
      </c>
      <c r="L11" s="161">
        <v>13</v>
      </c>
      <c r="N11" s="66">
        <f t="shared" si="9"/>
        <v>128</v>
      </c>
      <c r="O11" s="66">
        <f t="shared" si="10"/>
        <v>128</v>
      </c>
      <c r="P11" s="66">
        <f t="shared" si="11"/>
        <v>1</v>
      </c>
      <c r="Q11" s="66">
        <f t="shared" si="24"/>
        <v>1</v>
      </c>
      <c r="R11" s="66">
        <f t="shared" si="12"/>
        <v>0</v>
      </c>
      <c r="S11" s="66">
        <f t="shared" si="13"/>
        <v>1</v>
      </c>
      <c r="T11" s="127">
        <f t="shared" si="14"/>
        <v>0</v>
      </c>
      <c r="U11" s="127">
        <f t="shared" si="15"/>
        <v>3</v>
      </c>
      <c r="V11" s="66">
        <v>9</v>
      </c>
      <c r="W11" s="66" t="str">
        <f>IF(Auslosung_Turnierdaten!F17="","Spieler 9",Auslosung_Turnierdaten!F17)</f>
        <v>Obermeier, Andreas [29213]</v>
      </c>
      <c r="X11" s="66">
        <f t="shared" si="0"/>
        <v>12</v>
      </c>
      <c r="Y11" s="66">
        <f t="shared" si="1"/>
        <v>4</v>
      </c>
      <c r="Z11" s="66">
        <f t="shared" si="2"/>
        <v>3</v>
      </c>
      <c r="AA11" s="66">
        <f t="shared" si="16"/>
        <v>1</v>
      </c>
      <c r="AB11" s="66">
        <f t="shared" si="3"/>
        <v>462</v>
      </c>
      <c r="AC11" s="66">
        <f t="shared" si="4"/>
        <v>240</v>
      </c>
      <c r="AD11" s="66">
        <f t="shared" si="17"/>
        <v>222</v>
      </c>
      <c r="AE11" s="128">
        <f t="shared" si="18"/>
        <v>1.0810810810810811</v>
      </c>
      <c r="AF11" s="66">
        <f t="shared" si="5"/>
        <v>42</v>
      </c>
      <c r="AG11" s="128">
        <f t="shared" si="19"/>
        <v>5.714285714285714</v>
      </c>
      <c r="AH11" s="128">
        <f t="shared" si="6"/>
        <v>10.714285714285714</v>
      </c>
      <c r="AI11" s="66">
        <f t="shared" si="20"/>
        <v>45</v>
      </c>
      <c r="AJ11" s="66">
        <f t="shared" si="7"/>
        <v>10.714285714285714</v>
      </c>
      <c r="AK11" s="66">
        <f t="shared" si="8"/>
        <v>0</v>
      </c>
      <c r="AL11" s="124"/>
      <c r="AM11" s="125"/>
      <c r="AN11" s="126"/>
      <c r="AO11" s="66">
        <f t="shared" si="21"/>
      </c>
      <c r="AQ11" s="66">
        <f t="shared" si="22"/>
      </c>
      <c r="AR11" s="179"/>
      <c r="AS11" s="179"/>
      <c r="AT11" s="180">
        <f t="shared" si="23"/>
      </c>
      <c r="AV11" s="66">
        <f>IF(AND(COUNTIF(L11:L11:L11:$L$62,L11)=1,F11+G11&gt;0),L11&amp;"-","")</f>
      </c>
    </row>
    <row r="12" spans="3:48" ht="10.5">
      <c r="C12" s="72">
        <v>10</v>
      </c>
      <c r="D12" s="76" t="str">
        <f>IF(W12="Freilos","Freilos",IF(W12="","Spieler 10",W12))</f>
        <v>Fuchs, Reinhard [25179]</v>
      </c>
      <c r="E12" s="77" t="str">
        <f>IF(W28="Freilos","Freilos",IF(W28="","Spieler 26",W28))</f>
        <v>Reutter, Harald [20274]</v>
      </c>
      <c r="F12" s="159">
        <v>69</v>
      </c>
      <c r="G12" s="160">
        <v>75</v>
      </c>
      <c r="H12" s="160">
        <v>33</v>
      </c>
      <c r="I12" s="160">
        <v>34</v>
      </c>
      <c r="J12" s="160">
        <v>19</v>
      </c>
      <c r="K12" s="192">
        <v>12</v>
      </c>
      <c r="L12" s="161">
        <v>14</v>
      </c>
      <c r="M12" s="80"/>
      <c r="N12" s="66">
        <f t="shared" si="9"/>
        <v>144</v>
      </c>
      <c r="O12" s="66">
        <f t="shared" si="10"/>
        <v>144</v>
      </c>
      <c r="P12" s="66">
        <f t="shared" si="11"/>
        <v>1</v>
      </c>
      <c r="Q12" s="66">
        <f t="shared" si="24"/>
        <v>1</v>
      </c>
      <c r="R12" s="66">
        <f t="shared" si="12"/>
        <v>0</v>
      </c>
      <c r="S12" s="66">
        <f t="shared" si="13"/>
        <v>1</v>
      </c>
      <c r="T12" s="127">
        <f t="shared" si="14"/>
        <v>0</v>
      </c>
      <c r="U12" s="127">
        <f t="shared" si="15"/>
        <v>3</v>
      </c>
      <c r="V12" s="66">
        <v>10</v>
      </c>
      <c r="W12" s="66" t="str">
        <f>IF(Auslosung_Turnierdaten!F18="","Spieler 10",Auslosung_Turnierdaten!F18)</f>
        <v>Fuchs, Reinhard [25179]</v>
      </c>
      <c r="X12" s="66">
        <f t="shared" si="0"/>
        <v>3</v>
      </c>
      <c r="Y12" s="66">
        <f t="shared" si="1"/>
        <v>3</v>
      </c>
      <c r="Z12" s="66">
        <f t="shared" si="2"/>
        <v>1</v>
      </c>
      <c r="AA12" s="66">
        <f t="shared" si="16"/>
        <v>2</v>
      </c>
      <c r="AB12" s="66">
        <f t="shared" si="3"/>
        <v>383</v>
      </c>
      <c r="AC12" s="66">
        <f t="shared" si="4"/>
        <v>161</v>
      </c>
      <c r="AD12" s="66">
        <f t="shared" si="17"/>
        <v>222</v>
      </c>
      <c r="AE12" s="128">
        <f t="shared" si="18"/>
        <v>0.7252252252252253</v>
      </c>
      <c r="AF12" s="66">
        <f t="shared" si="5"/>
        <v>70</v>
      </c>
      <c r="AG12" s="128">
        <f t="shared" si="19"/>
        <v>2.3</v>
      </c>
      <c r="AH12" s="128">
        <f t="shared" si="6"/>
        <v>2.6785714285714284</v>
      </c>
      <c r="AI12" s="66">
        <f t="shared" si="20"/>
        <v>19</v>
      </c>
      <c r="AJ12" s="66">
        <f t="shared" si="7"/>
        <v>2.6785714285714284</v>
      </c>
      <c r="AK12" s="66">
        <f t="shared" si="8"/>
        <v>0</v>
      </c>
      <c r="AL12" s="124"/>
      <c r="AM12" s="125"/>
      <c r="AN12" s="126"/>
      <c r="AO12" s="66">
        <f t="shared" si="21"/>
      </c>
      <c r="AQ12" s="66">
        <f t="shared" si="22"/>
      </c>
      <c r="AR12" s="179"/>
      <c r="AS12" s="179"/>
      <c r="AT12" s="180">
        <f t="shared" si="23"/>
      </c>
      <c r="AV12" s="66">
        <f>IF(AND(COUNTIF(L12:L12:L12:$L$62,L12)=1,F12+G12&gt;0),L12&amp;"-","")</f>
      </c>
    </row>
    <row r="13" spans="3:48" ht="10.5">
      <c r="C13" s="72">
        <v>11</v>
      </c>
      <c r="D13" s="76" t="str">
        <f>IF(W8="Freilos","Freilos",IF(W8="","Spieler 6",W8))</f>
        <v>Scholz, Jürgen [35124]</v>
      </c>
      <c r="E13" s="77" t="str">
        <f>IF(W24="Freilos","Freilos",IF(W24="","Spieler 22",W24))</f>
        <v>Schröter, Matthias [35127]</v>
      </c>
      <c r="F13" s="159">
        <v>75</v>
      </c>
      <c r="G13" s="160">
        <v>63</v>
      </c>
      <c r="H13" s="160">
        <v>30</v>
      </c>
      <c r="I13" s="160">
        <v>30</v>
      </c>
      <c r="J13" s="160">
        <v>15</v>
      </c>
      <c r="K13" s="192">
        <v>20</v>
      </c>
      <c r="L13" s="161">
        <v>15</v>
      </c>
      <c r="M13" s="80"/>
      <c r="N13" s="66">
        <f t="shared" si="9"/>
        <v>138</v>
      </c>
      <c r="O13" s="66">
        <f t="shared" si="10"/>
        <v>138</v>
      </c>
      <c r="P13" s="66">
        <f t="shared" si="11"/>
        <v>1</v>
      </c>
      <c r="Q13" s="66">
        <f t="shared" si="24"/>
        <v>1</v>
      </c>
      <c r="R13" s="66">
        <f t="shared" si="12"/>
        <v>1</v>
      </c>
      <c r="S13" s="66">
        <f t="shared" si="13"/>
        <v>0</v>
      </c>
      <c r="T13" s="127">
        <f t="shared" si="14"/>
        <v>3</v>
      </c>
      <c r="U13" s="127">
        <f t="shared" si="15"/>
        <v>0</v>
      </c>
      <c r="V13" s="66">
        <v>11</v>
      </c>
      <c r="W13" s="66" t="str">
        <f>IF(Auslosung_Turnierdaten!F19="","Spieler 11",Auslosung_Turnierdaten!F19)</f>
        <v>Heimmerer, Benjamin [34073]</v>
      </c>
      <c r="X13" s="66">
        <f t="shared" si="0"/>
        <v>21</v>
      </c>
      <c r="Y13" s="66">
        <f t="shared" si="1"/>
        <v>8</v>
      </c>
      <c r="Z13" s="66">
        <f t="shared" si="2"/>
        <v>7</v>
      </c>
      <c r="AA13" s="66">
        <f t="shared" si="16"/>
        <v>1</v>
      </c>
      <c r="AB13" s="66">
        <f t="shared" si="3"/>
        <v>910</v>
      </c>
      <c r="AC13" s="66">
        <f t="shared" si="4"/>
        <v>545</v>
      </c>
      <c r="AD13" s="66">
        <f t="shared" si="17"/>
        <v>365</v>
      </c>
      <c r="AE13" s="128">
        <f t="shared" si="18"/>
        <v>1.4931506849315068</v>
      </c>
      <c r="AF13" s="66">
        <f t="shared" si="5"/>
        <v>70</v>
      </c>
      <c r="AG13" s="128">
        <f t="shared" si="19"/>
        <v>7.785714285714286</v>
      </c>
      <c r="AH13" s="128">
        <f t="shared" si="6"/>
        <v>18.75</v>
      </c>
      <c r="AI13" s="66">
        <f t="shared" si="20"/>
        <v>70</v>
      </c>
      <c r="AJ13" s="66">
        <f t="shared" si="7"/>
        <v>9.375</v>
      </c>
      <c r="AK13" s="66">
        <f t="shared" si="8"/>
        <v>18.75</v>
      </c>
      <c r="AL13" s="124"/>
      <c r="AM13" s="125"/>
      <c r="AN13" s="126"/>
      <c r="AO13" s="66">
        <f t="shared" si="21"/>
      </c>
      <c r="AQ13" s="66">
        <f t="shared" si="22"/>
      </c>
      <c r="AR13" s="179"/>
      <c r="AS13" s="179"/>
      <c r="AT13" s="180">
        <f t="shared" si="23"/>
      </c>
      <c r="AV13" s="66">
        <f>IF(AND(COUNTIF(L13:L13:L13:$L$62,L13)=1,F13+G13&gt;0),L13&amp;"-","")</f>
      </c>
    </row>
    <row r="14" spans="3:48" ht="10.5">
      <c r="C14" s="72">
        <v>12</v>
      </c>
      <c r="D14" s="76" t="str">
        <f>IF(W16="Freilos","Freilos",IF(W16="","Spieler 14",W16))</f>
        <v>Spahr, Alexander [29007]</v>
      </c>
      <c r="E14" s="77" t="str">
        <f>IF(W32="Freilos","Freilos",IF(W32="","Spieler 30",W32))</f>
        <v>Scholz, Federico [34523]</v>
      </c>
      <c r="F14" s="159">
        <v>36</v>
      </c>
      <c r="G14" s="160">
        <v>75</v>
      </c>
      <c r="H14" s="160">
        <v>14</v>
      </c>
      <c r="I14" s="160">
        <v>15</v>
      </c>
      <c r="J14" s="160">
        <v>9</v>
      </c>
      <c r="K14" s="192">
        <v>29</v>
      </c>
      <c r="L14" s="161">
        <v>16</v>
      </c>
      <c r="M14" s="80"/>
      <c r="N14" s="66">
        <f t="shared" si="9"/>
        <v>111</v>
      </c>
      <c r="O14" s="66">
        <f t="shared" si="10"/>
        <v>111</v>
      </c>
      <c r="P14" s="66">
        <f t="shared" si="11"/>
        <v>1</v>
      </c>
      <c r="Q14" s="66">
        <f t="shared" si="24"/>
        <v>1</v>
      </c>
      <c r="R14" s="66">
        <f t="shared" si="12"/>
        <v>0</v>
      </c>
      <c r="S14" s="66">
        <f t="shared" si="13"/>
        <v>1</v>
      </c>
      <c r="T14" s="127">
        <f t="shared" si="14"/>
        <v>0</v>
      </c>
      <c r="U14" s="127">
        <f t="shared" si="15"/>
        <v>3</v>
      </c>
      <c r="V14" s="66">
        <v>12</v>
      </c>
      <c r="W14" s="66" t="str">
        <f>IF(Auslosung_Turnierdaten!F20="","Spieler 12",Auslosung_Turnierdaten!F20)</f>
        <v>Becherer, Thomas [25734]</v>
      </c>
      <c r="X14" s="66">
        <f t="shared" si="0"/>
        <v>12</v>
      </c>
      <c r="Y14" s="66">
        <f t="shared" si="1"/>
        <v>4</v>
      </c>
      <c r="Z14" s="66">
        <f t="shared" si="2"/>
        <v>3</v>
      </c>
      <c r="AA14" s="66">
        <f t="shared" si="16"/>
        <v>1</v>
      </c>
      <c r="AB14" s="66">
        <f t="shared" si="3"/>
        <v>516</v>
      </c>
      <c r="AC14" s="66">
        <f t="shared" si="4"/>
        <v>286</v>
      </c>
      <c r="AD14" s="66">
        <f t="shared" si="17"/>
        <v>230</v>
      </c>
      <c r="AE14" s="128">
        <f t="shared" si="18"/>
        <v>1.2434782608695651</v>
      </c>
      <c r="AF14" s="66">
        <f t="shared" si="5"/>
        <v>90</v>
      </c>
      <c r="AG14" s="128">
        <f t="shared" si="19"/>
        <v>3.1777777777777776</v>
      </c>
      <c r="AH14" s="128">
        <f t="shared" si="6"/>
        <v>9.375</v>
      </c>
      <c r="AI14" s="66">
        <f t="shared" si="20"/>
        <v>16</v>
      </c>
      <c r="AJ14" s="66">
        <f t="shared" si="7"/>
        <v>9.375</v>
      </c>
      <c r="AK14" s="66">
        <f t="shared" si="8"/>
        <v>0</v>
      </c>
      <c r="AL14" s="124"/>
      <c r="AM14" s="125"/>
      <c r="AN14" s="126"/>
      <c r="AO14" s="66">
        <f t="shared" si="21"/>
      </c>
      <c r="AQ14" s="66">
        <f t="shared" si="22"/>
      </c>
      <c r="AR14" s="179"/>
      <c r="AS14" s="179"/>
      <c r="AT14" s="180">
        <f t="shared" si="23"/>
      </c>
      <c r="AV14" s="66">
        <f>IF(AND(COUNTIF(L14:L14:L14:$L$62,L14)=1,F14+G14&gt;0),L14&amp;"-","")</f>
      </c>
    </row>
    <row r="15" spans="3:48" ht="10.5">
      <c r="C15" s="72">
        <v>13</v>
      </c>
      <c r="D15" s="76" t="str">
        <f>IF(W6="Freilos","Freilos",IF(W6="","Spieler 4",W6))</f>
        <v>Sohal, Tony [37510]</v>
      </c>
      <c r="E15" s="77" t="str">
        <f>IF(W22="Freilos","Freilos",IF(W22="","Spieler 20",W22))</f>
        <v>Bachl, Norbert [16304]</v>
      </c>
      <c r="F15" s="159">
        <v>75</v>
      </c>
      <c r="G15" s="160">
        <v>69</v>
      </c>
      <c r="H15" s="160">
        <v>32</v>
      </c>
      <c r="I15" s="160">
        <v>31</v>
      </c>
      <c r="J15" s="160">
        <v>11</v>
      </c>
      <c r="K15" s="192">
        <v>23</v>
      </c>
      <c r="L15" s="161">
        <v>17</v>
      </c>
      <c r="M15" s="75"/>
      <c r="N15" s="66">
        <f t="shared" si="9"/>
        <v>144</v>
      </c>
      <c r="O15" s="66">
        <f t="shared" si="10"/>
        <v>144</v>
      </c>
      <c r="P15" s="66">
        <f t="shared" si="11"/>
        <v>1</v>
      </c>
      <c r="Q15" s="66">
        <f t="shared" si="24"/>
        <v>1</v>
      </c>
      <c r="R15" s="66">
        <f t="shared" si="12"/>
        <v>1</v>
      </c>
      <c r="S15" s="66">
        <f t="shared" si="13"/>
        <v>0</v>
      </c>
      <c r="T15" s="127">
        <f t="shared" si="14"/>
        <v>3</v>
      </c>
      <c r="U15" s="127">
        <f t="shared" si="15"/>
        <v>0</v>
      </c>
      <c r="V15" s="66">
        <v>13</v>
      </c>
      <c r="W15" s="66" t="str">
        <f>IF(Auslosung_Turnierdaten!F21="","Spieler 13",Auslosung_Turnierdaten!F21)</f>
        <v>Mader, Martin [26601]</v>
      </c>
      <c r="X15" s="66">
        <f t="shared" si="0"/>
        <v>0</v>
      </c>
      <c r="Y15" s="66">
        <f t="shared" si="1"/>
        <v>2</v>
      </c>
      <c r="Z15" s="66">
        <f t="shared" si="2"/>
        <v>0</v>
      </c>
      <c r="AA15" s="66">
        <f t="shared" si="16"/>
        <v>2</v>
      </c>
      <c r="AB15" s="66">
        <f t="shared" si="3"/>
        <v>271</v>
      </c>
      <c r="AC15" s="66">
        <f t="shared" si="4"/>
        <v>121</v>
      </c>
      <c r="AD15" s="66">
        <f t="shared" si="17"/>
        <v>150</v>
      </c>
      <c r="AE15" s="128">
        <f t="shared" si="18"/>
        <v>0.8066666666666666</v>
      </c>
      <c r="AF15" s="66">
        <f t="shared" si="5"/>
        <v>37</v>
      </c>
      <c r="AG15" s="128">
        <f t="shared" si="19"/>
        <v>3.27027027027027</v>
      </c>
      <c r="AH15" s="128">
        <f t="shared" si="6"/>
        <v>0</v>
      </c>
      <c r="AI15" s="66">
        <f t="shared" si="20"/>
        <v>24</v>
      </c>
      <c r="AJ15" s="66">
        <f t="shared" si="7"/>
        <v>0</v>
      </c>
      <c r="AK15" s="66">
        <f t="shared" si="8"/>
        <v>0</v>
      </c>
      <c r="AL15" s="124"/>
      <c r="AM15" s="125"/>
      <c r="AN15" s="126"/>
      <c r="AO15" s="66">
        <f t="shared" si="21"/>
      </c>
      <c r="AQ15" s="66">
        <f t="shared" si="22"/>
      </c>
      <c r="AR15" s="179"/>
      <c r="AS15" s="179"/>
      <c r="AT15" s="180">
        <f t="shared" si="23"/>
      </c>
      <c r="AV15" s="66">
        <f>IF(AND(COUNTIF(L15:L15:L15:$L$62,L15)=1,F15+G15&gt;0),L15&amp;"-","")</f>
      </c>
    </row>
    <row r="16" spans="3:48" ht="10.5">
      <c r="C16" s="72">
        <v>14</v>
      </c>
      <c r="D16" s="76" t="str">
        <f>IF(W14="Freilos","Freilos",IF(W14="","Spieler 12",W14))</f>
        <v>Becherer, Thomas [25734]</v>
      </c>
      <c r="E16" s="77" t="str">
        <f>IF(W30="Freilos","Freilos",IF(W30="","Spieler 28",W30))</f>
        <v>Volkert, Frank [37753]</v>
      </c>
      <c r="F16" s="159">
        <v>75</v>
      </c>
      <c r="G16" s="160">
        <v>61</v>
      </c>
      <c r="H16" s="160">
        <v>38</v>
      </c>
      <c r="I16" s="160">
        <v>38</v>
      </c>
      <c r="J16" s="160">
        <v>10</v>
      </c>
      <c r="K16" s="192">
        <v>10</v>
      </c>
      <c r="L16" s="161">
        <v>18</v>
      </c>
      <c r="N16" s="66">
        <f t="shared" si="9"/>
        <v>136</v>
      </c>
      <c r="O16" s="66">
        <f t="shared" si="10"/>
        <v>136</v>
      </c>
      <c r="P16" s="66">
        <f t="shared" si="11"/>
        <v>1</v>
      </c>
      <c r="Q16" s="66">
        <f t="shared" si="24"/>
        <v>1</v>
      </c>
      <c r="R16" s="66">
        <f t="shared" si="12"/>
        <v>1</v>
      </c>
      <c r="S16" s="66">
        <f t="shared" si="13"/>
        <v>0</v>
      </c>
      <c r="T16" s="127">
        <f t="shared" si="14"/>
        <v>3</v>
      </c>
      <c r="U16" s="127">
        <f t="shared" si="15"/>
        <v>0</v>
      </c>
      <c r="V16" s="66">
        <v>14</v>
      </c>
      <c r="W16" s="66" t="str">
        <f>IF(Auslosung_Turnierdaten!F22="","Spieler 14",Auslosung_Turnierdaten!F22)</f>
        <v>Spahr, Alexander [29007]</v>
      </c>
      <c r="X16" s="66">
        <f t="shared" si="0"/>
        <v>0</v>
      </c>
      <c r="Y16" s="66">
        <f t="shared" si="1"/>
        <v>2</v>
      </c>
      <c r="Z16" s="66">
        <f t="shared" si="2"/>
        <v>0</v>
      </c>
      <c r="AA16" s="66">
        <f t="shared" si="16"/>
        <v>2</v>
      </c>
      <c r="AB16" s="66">
        <f t="shared" si="3"/>
        <v>243</v>
      </c>
      <c r="AC16" s="66">
        <f t="shared" si="4"/>
        <v>93</v>
      </c>
      <c r="AD16" s="66">
        <f t="shared" si="17"/>
        <v>150</v>
      </c>
      <c r="AE16" s="128">
        <f t="shared" si="18"/>
        <v>0.62</v>
      </c>
      <c r="AF16" s="66">
        <f t="shared" si="5"/>
        <v>30</v>
      </c>
      <c r="AG16" s="128">
        <f t="shared" si="19"/>
        <v>3.1</v>
      </c>
      <c r="AH16" s="128">
        <f t="shared" si="6"/>
        <v>0</v>
      </c>
      <c r="AI16" s="66">
        <f t="shared" si="20"/>
        <v>11</v>
      </c>
      <c r="AJ16" s="66">
        <f t="shared" si="7"/>
        <v>0</v>
      </c>
      <c r="AK16" s="66">
        <f t="shared" si="8"/>
        <v>0</v>
      </c>
      <c r="AL16" s="124"/>
      <c r="AM16" s="125"/>
      <c r="AN16" s="126"/>
      <c r="AO16" s="66">
        <f t="shared" si="21"/>
      </c>
      <c r="AQ16" s="66">
        <f t="shared" si="22"/>
      </c>
      <c r="AR16" s="179"/>
      <c r="AS16" s="179"/>
      <c r="AT16" s="180">
        <f t="shared" si="23"/>
      </c>
      <c r="AV16" s="66">
        <f>IF(AND(COUNTIF(L16:L16:L16:$L$62,L16)=1,F16+G16&gt;0),L16&amp;"-","")</f>
      </c>
    </row>
    <row r="17" spans="3:48" ht="10.5">
      <c r="C17" s="72">
        <v>15</v>
      </c>
      <c r="D17" s="76" t="str">
        <f>IF(W10="Freilos","Freilos",IF(W10="","Spieler 8",W10))</f>
        <v>Au-Yeung, Michael [24627]</v>
      </c>
      <c r="E17" s="77" t="str">
        <f>IF(W26="Freilos","Freilos",IF(W26="","Spieler 24",W26))</f>
        <v>Kabelin, Sven [24986]</v>
      </c>
      <c r="F17" s="159">
        <v>75</v>
      </c>
      <c r="G17" s="160">
        <v>61</v>
      </c>
      <c r="H17" s="160">
        <v>10</v>
      </c>
      <c r="I17" s="160">
        <v>9</v>
      </c>
      <c r="J17" s="160">
        <v>31</v>
      </c>
      <c r="K17" s="192">
        <v>27</v>
      </c>
      <c r="L17" s="161">
        <v>19</v>
      </c>
      <c r="N17" s="66">
        <f t="shared" si="9"/>
        <v>136</v>
      </c>
      <c r="O17" s="66">
        <f t="shared" si="10"/>
        <v>136</v>
      </c>
      <c r="P17" s="66">
        <f t="shared" si="11"/>
        <v>1</v>
      </c>
      <c r="Q17" s="66">
        <f t="shared" si="24"/>
        <v>1</v>
      </c>
      <c r="R17" s="66">
        <f t="shared" si="12"/>
        <v>1</v>
      </c>
      <c r="S17" s="66">
        <f t="shared" si="13"/>
        <v>0</v>
      </c>
      <c r="T17" s="127">
        <f t="shared" si="14"/>
        <v>3</v>
      </c>
      <c r="U17" s="127">
        <f t="shared" si="15"/>
        <v>0</v>
      </c>
      <c r="V17" s="66">
        <v>15</v>
      </c>
      <c r="W17" s="66" t="str">
        <f>IF(Auslosung_Turnierdaten!F23="","Spieler 15",Auslosung_Turnierdaten!F23)</f>
        <v>Braun, Dennis [39840]</v>
      </c>
      <c r="X17" s="66">
        <f t="shared" si="0"/>
        <v>9</v>
      </c>
      <c r="Y17" s="66">
        <f t="shared" si="1"/>
        <v>5</v>
      </c>
      <c r="Z17" s="66">
        <f t="shared" si="2"/>
        <v>3</v>
      </c>
      <c r="AA17" s="66">
        <f t="shared" si="16"/>
        <v>2</v>
      </c>
      <c r="AB17" s="66">
        <f t="shared" si="3"/>
        <v>534</v>
      </c>
      <c r="AC17" s="66">
        <f t="shared" si="4"/>
        <v>319</v>
      </c>
      <c r="AD17" s="66">
        <f t="shared" si="17"/>
        <v>215</v>
      </c>
      <c r="AE17" s="128">
        <f t="shared" si="18"/>
        <v>1.4837209302325582</v>
      </c>
      <c r="AF17" s="66">
        <f t="shared" si="5"/>
        <v>57</v>
      </c>
      <c r="AG17" s="128">
        <f t="shared" si="19"/>
        <v>5.5964912280701755</v>
      </c>
      <c r="AH17" s="128">
        <f t="shared" si="6"/>
        <v>10.714285714285714</v>
      </c>
      <c r="AI17" s="66">
        <f t="shared" si="20"/>
        <v>43</v>
      </c>
      <c r="AJ17" s="66">
        <f t="shared" si="7"/>
        <v>10.714285714285714</v>
      </c>
      <c r="AK17" s="66">
        <f t="shared" si="8"/>
        <v>0</v>
      </c>
      <c r="AL17" s="124"/>
      <c r="AM17" s="125"/>
      <c r="AN17" s="126"/>
      <c r="AO17" s="66">
        <f t="shared" si="21"/>
      </c>
      <c r="AQ17" s="66">
        <f t="shared" si="22"/>
      </c>
      <c r="AR17" s="179"/>
      <c r="AS17" s="179"/>
      <c r="AT17" s="180">
        <f t="shared" si="23"/>
      </c>
      <c r="AV17" s="66">
        <f>IF(AND(COUNTIF(L17:L17:L17:$L$62,L17)=1,F17+G17&gt;0),L17&amp;"-","")</f>
      </c>
    </row>
    <row r="18" spans="3:48" ht="11.25" thickBot="1">
      <c r="C18" s="72">
        <v>16</v>
      </c>
      <c r="D18" s="81" t="str">
        <f>IF(W18="Freilos","Freilos",IF(W18="","Spieler 16",W18))</f>
        <v>Gruber, Stefan [30145]</v>
      </c>
      <c r="E18" s="82" t="str">
        <f>IF(W34="Freilos","Freilos",IF(W34="","Spieler 32",W34))</f>
        <v>Guggemos, Florian [37921]</v>
      </c>
      <c r="F18" s="162">
        <v>75</v>
      </c>
      <c r="G18" s="163">
        <v>27</v>
      </c>
      <c r="H18" s="163">
        <v>20</v>
      </c>
      <c r="I18" s="163">
        <v>20</v>
      </c>
      <c r="J18" s="163">
        <v>20</v>
      </c>
      <c r="K18" s="193">
        <v>11</v>
      </c>
      <c r="L18" s="164">
        <v>20</v>
      </c>
      <c r="M18" s="136" t="s">
        <v>46</v>
      </c>
      <c r="N18" s="66">
        <f t="shared" si="9"/>
        <v>102</v>
      </c>
      <c r="O18" s="66">
        <f t="shared" si="10"/>
        <v>102</v>
      </c>
      <c r="P18" s="66">
        <f t="shared" si="11"/>
        <v>1</v>
      </c>
      <c r="Q18" s="66">
        <f t="shared" si="24"/>
        <v>1</v>
      </c>
      <c r="R18" s="66">
        <f t="shared" si="12"/>
        <v>1</v>
      </c>
      <c r="S18" s="66">
        <f t="shared" si="13"/>
        <v>0</v>
      </c>
      <c r="T18" s="127">
        <f t="shared" si="14"/>
        <v>3</v>
      </c>
      <c r="U18" s="127">
        <f t="shared" si="15"/>
        <v>0</v>
      </c>
      <c r="V18" s="66">
        <v>16</v>
      </c>
      <c r="W18" s="66" t="str">
        <f>IF(Auslosung_Turnierdaten!F24="","Spieler 16",Auslosung_Turnierdaten!F24)</f>
        <v>Gruber, Stefan [30145]</v>
      </c>
      <c r="X18" s="66">
        <f t="shared" si="0"/>
        <v>15</v>
      </c>
      <c r="Y18" s="66">
        <f t="shared" si="1"/>
        <v>7</v>
      </c>
      <c r="Z18" s="66">
        <f t="shared" si="2"/>
        <v>5</v>
      </c>
      <c r="AA18" s="66">
        <f t="shared" si="16"/>
        <v>2</v>
      </c>
      <c r="AB18" s="66">
        <f t="shared" si="3"/>
        <v>718</v>
      </c>
      <c r="AC18" s="66">
        <f t="shared" si="4"/>
        <v>433</v>
      </c>
      <c r="AD18" s="66">
        <f t="shared" si="17"/>
        <v>285</v>
      </c>
      <c r="AE18" s="128">
        <f t="shared" si="18"/>
        <v>1.5192982456140351</v>
      </c>
      <c r="AF18" s="66">
        <f t="shared" si="5"/>
        <v>66</v>
      </c>
      <c r="AG18" s="128">
        <f t="shared" si="19"/>
        <v>6.5606060606060606</v>
      </c>
      <c r="AH18" s="128">
        <f t="shared" si="6"/>
        <v>18.75</v>
      </c>
      <c r="AI18" s="66">
        <f t="shared" si="20"/>
        <v>43</v>
      </c>
      <c r="AJ18" s="66">
        <f t="shared" si="7"/>
        <v>18.75</v>
      </c>
      <c r="AK18" s="66">
        <f t="shared" si="8"/>
        <v>5</v>
      </c>
      <c r="AL18" s="124"/>
      <c r="AM18" s="125"/>
      <c r="AN18" s="126"/>
      <c r="AO18" s="66">
        <f t="shared" si="21"/>
      </c>
      <c r="AQ18" s="66">
        <f t="shared" si="22"/>
      </c>
      <c r="AR18" s="179"/>
      <c r="AS18" s="179"/>
      <c r="AT18" s="180">
        <f t="shared" si="23"/>
      </c>
      <c r="AV18" s="66">
        <f>IF(AND(COUNTIF(L18:L18:L18:$L$62,L18)=1,F18+G18&gt;0),L18&amp;"-","")</f>
      </c>
    </row>
    <row r="19" spans="2:48" ht="11.25" thickBot="1">
      <c r="B19" s="83" t="s">
        <v>39</v>
      </c>
      <c r="C19" s="84">
        <v>17</v>
      </c>
      <c r="D19" s="85" t="str">
        <f>IF(D3="Spieler 1","Verlierer 1",IF(E3="Spieler 17","Verlierer 1",IF(D3=E3,"Freilos",IF(E3="Freilos",E3,IF(D3="Freilos",D3,IF(F3&gt;G3,E3,IF(G3&gt;F3,D3,"Verlierer 1")))))))</f>
        <v>Ruths, Georg [40922]</v>
      </c>
      <c r="E19" s="86" t="str">
        <f>IF(D4="Spieler 9","Verlierer 2",IF(E4="Spieler 25","Verlierer 2",IF(D4=E4,"Freilos",IF(D4="Freilos",D4,IF(E4="Freilos",E4,IF(F4&gt;G4,E4,IF(G4&gt;F4,D4,"Verlierer 2")))))))</f>
        <v>Caranica, Philipp [32781]</v>
      </c>
      <c r="F19" s="165">
        <v>17</v>
      </c>
      <c r="G19" s="166">
        <v>75</v>
      </c>
      <c r="H19" s="166">
        <v>11</v>
      </c>
      <c r="I19" s="166">
        <v>11</v>
      </c>
      <c r="J19" s="166">
        <v>9</v>
      </c>
      <c r="K19" s="187">
        <v>24</v>
      </c>
      <c r="L19" s="194">
        <v>1</v>
      </c>
      <c r="M19" s="80" t="str">
        <f>IF(F19&gt;G19,E19,IF(G19&gt;F19,D19,""))</f>
        <v>Ruths, Georg [40922]</v>
      </c>
      <c r="N19" s="66">
        <f t="shared" si="9"/>
        <v>92</v>
      </c>
      <c r="O19" s="66">
        <f t="shared" si="10"/>
        <v>92</v>
      </c>
      <c r="P19" s="66">
        <f t="shared" si="11"/>
        <v>1</v>
      </c>
      <c r="Q19" s="66">
        <f t="shared" si="24"/>
        <v>1</v>
      </c>
      <c r="R19" s="66">
        <f t="shared" si="12"/>
        <v>0</v>
      </c>
      <c r="S19" s="66">
        <f t="shared" si="13"/>
        <v>1</v>
      </c>
      <c r="T19" s="127">
        <f t="shared" si="14"/>
        <v>0</v>
      </c>
      <c r="U19" s="127">
        <f t="shared" si="15"/>
        <v>3</v>
      </c>
      <c r="V19" s="66">
        <v>17</v>
      </c>
      <c r="W19" s="66" t="str">
        <f>IF(Auslosung_Turnierdaten!F25="","Spieler 17",Auslosung_Turnierdaten!F25)</f>
        <v>Ruths, Georg [40922]</v>
      </c>
      <c r="X19" s="66">
        <f t="shared" si="0"/>
        <v>0</v>
      </c>
      <c r="Y19" s="66">
        <f t="shared" si="1"/>
        <v>2</v>
      </c>
      <c r="Z19" s="66">
        <f t="shared" si="2"/>
        <v>0</v>
      </c>
      <c r="AA19" s="66">
        <f t="shared" si="16"/>
        <v>2</v>
      </c>
      <c r="AB19" s="66">
        <f t="shared" si="3"/>
        <v>202</v>
      </c>
      <c r="AC19" s="66">
        <f t="shared" si="4"/>
        <v>52</v>
      </c>
      <c r="AD19" s="66">
        <f t="shared" si="17"/>
        <v>150</v>
      </c>
      <c r="AE19" s="128">
        <f t="shared" si="18"/>
        <v>0.3466666666666667</v>
      </c>
      <c r="AF19" s="66">
        <f t="shared" si="5"/>
        <v>25</v>
      </c>
      <c r="AG19" s="128">
        <f t="shared" si="19"/>
        <v>2.08</v>
      </c>
      <c r="AH19" s="128">
        <f t="shared" si="6"/>
        <v>0</v>
      </c>
      <c r="AI19" s="66">
        <f t="shared" si="20"/>
        <v>9</v>
      </c>
      <c r="AJ19" s="66">
        <f>MAX(IF(AND(SUMIF($D$3:$E$18,W19,$H$3:$I$18)&gt;0,SUMIF($D$3:$E$18,W19,$R$3:$S$18)&gt;0),SUMIF($D$3:$E$18,W19,$F$3:$G$18)/SUMIF($D$3:$E$18,W19,$H$3:$I$18),0),IF(AND(SUMIF($D$19:$E$34,W19,$H$19:$I$34)&gt;0,SUMIF($D$19:$E$34,W19,$R$19:$S$34)&gt;0),SUMIF($D$19:$E$34,W19,$F$19:$G$34)/SUMIF($D$19:$E$34,W19,$H$19:$I$34),0),IF(AND(SUMIF($D$35:$E$42,W19,$H$35:$I$42)&gt;0,SUMIF($D$35:$E$42,W19,$R$35:$S$42)&gt;0),SUMIF($D$35:$E$42,W19,$F$35:$G$42)/SUMIF($D$35:$E$42,W19,$H$35:$I$42),0),IF(AND(SUMIF($D$43:$E$50,W19,$H$43:$I$50)&gt;0,SUMIF($D$43:$E$50,W19,$R$43:$S$50)&gt;0),SUMIF($D$43:$E$50,W19,$F$43:$G$50)/SUMIF($D$43:$E$50,W19,$H$43:$I$50),0),IF(AND(SUMIF($D$51:$E$54,W19,$H$51:$I$54)&gt;0,SUMIF($D$51:$E$54,W19,$R$51:$S$54)&gt;0),SUMIF($D$51:$E$54,W19,$F$51:$G$54)/SUMIF($D$51:$E$54,W19,$H$51:$I$54),0))</f>
        <v>0</v>
      </c>
      <c r="AK19" s="66">
        <f>MAX(IF(AND(SUMIF($D$55:$E$58,W19,$H$55:$I$58)&gt;0,SUMIF($D$55:$E$58,W19,$R$55:$S$58)&gt;0),SUMIF($D$55:$E$58,W19,$F$55:$G$58)/SUMIF($D$55:$E$58,W19,$H$55:$I$58),0),IF(AND(SUMIF($D$59:$E$60,W19,$H$59:$I$60)&gt;0,SUMIF($D$59:$E$60,W19,$R$59:$S$60)&gt;0),SUMIF($D$59:$E$60,W19,$F$59:$G$60)/SUMIF($D$59:$E$60,W19,$H$59:$I$60),0),IF(AND(SUMIF($D$61:$E$62,W19,$H$61:$I$61)&gt;0,SUMIF($D$61:$E$62,W19,$R$61:$S$62)&gt;0),SUMIF($D$61:$E$62,W19,$F$61:$G$62)/SUMIF($D$61:$E$62,W19,$H$61:$I$62),0))</f>
        <v>0</v>
      </c>
      <c r="AL19" s="124"/>
      <c r="AM19" s="125"/>
      <c r="AN19" s="126"/>
      <c r="AO19" s="66">
        <f t="shared" si="21"/>
      </c>
      <c r="AQ19" s="66">
        <f t="shared" si="22"/>
      </c>
      <c r="AR19" s="179"/>
      <c r="AS19" s="179"/>
      <c r="AT19" s="180">
        <f t="shared" si="23"/>
      </c>
      <c r="AV19" s="66" t="str">
        <f>IF(AND(COUNTIF(L19:L19:L19:$L$62,L19)=1,F19+G19&gt;0),L19&amp;"-","")</f>
        <v>1-</v>
      </c>
    </row>
    <row r="20" spans="3:48" ht="10.5">
      <c r="C20" s="84">
        <v>18</v>
      </c>
      <c r="D20" s="87" t="str">
        <f>IF(D5="Spieler 5","Verlierer 3",IF(E5="Spieler 21","Verlierer 3",IF(D5=E5,"Freilos",IF(E5="Freilos",E5,IF(D5="Freilos",D5,IF(F5&gt;G5,E5,IF(G5&gt;F5,D5,"Verlierer 3")))))))</f>
        <v>Meister, Martin [19054]</v>
      </c>
      <c r="E20" s="88" t="str">
        <f>IF(D6="Spieler 13","Verlierer 4",IF(E6="Spieler 29","Verlierer 4",IF(D6=E6,"Freilos",IF(D6="Freilos",D6,IF(E6="Freilos",E6,IF(F6&gt;G6,E6,IF(G6&gt;F6,D6,"Verlierer 4")))))))</f>
        <v>Mader, Martin [26601]</v>
      </c>
      <c r="F20" s="167">
        <v>75</v>
      </c>
      <c r="G20" s="168">
        <v>49</v>
      </c>
      <c r="H20" s="168">
        <v>22</v>
      </c>
      <c r="I20" s="168">
        <v>21</v>
      </c>
      <c r="J20" s="168">
        <v>19</v>
      </c>
      <c r="K20" s="188">
        <v>15</v>
      </c>
      <c r="L20" s="194">
        <v>14</v>
      </c>
      <c r="M20" s="80" t="str">
        <f aca="true" t="shared" si="25" ref="M20:M26">IF(F20&gt;G20,E20,IF(G20&gt;F20,D20,""))</f>
        <v>Mader, Martin [26601]</v>
      </c>
      <c r="N20" s="66">
        <f t="shared" si="9"/>
        <v>124</v>
      </c>
      <c r="O20" s="66">
        <f t="shared" si="10"/>
        <v>124</v>
      </c>
      <c r="P20" s="66">
        <f t="shared" si="11"/>
        <v>1</v>
      </c>
      <c r="Q20" s="66">
        <f t="shared" si="24"/>
        <v>1</v>
      </c>
      <c r="R20" s="66">
        <f t="shared" si="12"/>
        <v>1</v>
      </c>
      <c r="S20" s="66">
        <f t="shared" si="13"/>
        <v>0</v>
      </c>
      <c r="T20" s="127">
        <f t="shared" si="14"/>
        <v>3</v>
      </c>
      <c r="U20" s="127">
        <f t="shared" si="15"/>
        <v>0</v>
      </c>
      <c r="V20" s="66">
        <v>18</v>
      </c>
      <c r="W20" s="66" t="str">
        <f>IF(Auslosung_Turnierdaten!F26="","Spieler 18",Auslosung_Turnierdaten!F26)</f>
        <v>Uitz, Richard [16651]</v>
      </c>
      <c r="X20" s="66">
        <f t="shared" si="0"/>
        <v>9</v>
      </c>
      <c r="Y20" s="66">
        <f t="shared" si="1"/>
        <v>4</v>
      </c>
      <c r="Z20" s="66">
        <f t="shared" si="2"/>
        <v>2</v>
      </c>
      <c r="AA20" s="66">
        <f t="shared" si="16"/>
        <v>2</v>
      </c>
      <c r="AB20" s="66">
        <f t="shared" si="3"/>
        <v>463</v>
      </c>
      <c r="AC20" s="66">
        <f t="shared" si="4"/>
        <v>208</v>
      </c>
      <c r="AD20" s="66">
        <f t="shared" si="17"/>
        <v>255</v>
      </c>
      <c r="AE20" s="128">
        <f t="shared" si="18"/>
        <v>0.8156862745098039</v>
      </c>
      <c r="AF20" s="66">
        <f t="shared" si="5"/>
        <v>65</v>
      </c>
      <c r="AG20" s="128">
        <f t="shared" si="19"/>
        <v>3.2</v>
      </c>
      <c r="AH20" s="128">
        <f t="shared" si="6"/>
        <v>4.6875</v>
      </c>
      <c r="AI20" s="66">
        <f t="shared" si="20"/>
        <v>38</v>
      </c>
      <c r="AJ20" s="66">
        <f aca="true" t="shared" si="26" ref="AJ20:AJ34">MAX(IF(AND(SUMIF($D$3:$E$18,W20,$H$3:$I$18)&gt;0,SUMIF($D$3:$E$18,W20,$R$3:$S$18)&gt;0),SUMIF($D$3:$E$18,W20,$F$3:$G$18)/SUMIF($D$3:$E$18,W20,$H$3:$I$18),0),IF(AND(SUMIF($D$19:$E$34,W20,$H$19:$I$34)&gt;0,SUMIF($D$19:$E$34,W20,$R$19:$S$34)&gt;0),SUMIF($D$19:$E$34,W20,$F$19:$G$34)/SUMIF($D$19:$E$34,W20,$H$19:$I$34),0),IF(AND(SUMIF($D$35:$E$42,W20,$H$35:$I$42)&gt;0,SUMIF($D$35:$E$42,W20,$R$35:$S$42)&gt;0),SUMIF($D$35:$E$42,W20,$F$35:$G$42)/SUMIF($D$35:$E$42,W20,$H$35:$I$42),0),IF(AND(SUMIF($D$43:$E$50,W20,$H$43:$I$50)&gt;0,SUMIF($D$43:$E$50,W20,$R$43:$S$50)&gt;0),SUMIF($D$43:$E$50,W20,$F$43:$G$50)/SUMIF($D$43:$E$50,W20,$H$43:$I$50),0),IF(AND(SUMIF($D$51:$E$54,W20,$H$51:$I$54)&gt;0,SUMIF($D$51:$E$54,W20,$R$51:$S$54)&gt;0),SUMIF($D$51:$E$54,W20,$F$51:$G$54)/SUMIF($D$51:$E$54,W20,$H$51:$I$54),0))</f>
        <v>4.6875</v>
      </c>
      <c r="AK20" s="66">
        <f aca="true" t="shared" si="27" ref="AK20:AK34">MAX(IF(AND(SUMIF($D$55:$E$58,W20,$H$55:$I$58)&gt;0,SUMIF($D$55:$E$58,W20,$R$55:$S$58)&gt;0),SUMIF($D$55:$E$58,W20,$F$55:$G$58)/SUMIF($D$55:$E$58,W20,$H$55:$I$58),0),IF(AND(SUMIF($D$59:$E$60,W20,$H$59:$I$60)&gt;0,SUMIF($D$59:$E$60,W20,$R$59:$S$60)&gt;0),SUMIF($D$59:$E$60,W20,$F$59:$G$60)/SUMIF($D$59:$E$60,W20,$H$59:$I$60),0),IF(AND(SUMIF($D$61:$E$62,W20,$H$61:$I$61)&gt;0,SUMIF($D$61:$E$62,W20,$R$61:$S$62)&gt;0),SUMIF($D$61:$E$62,W20,$F$61:$G$62)/SUMIF($D$61:$E$62,W20,$H$61:$I$62),0))</f>
        <v>0</v>
      </c>
      <c r="AL20" s="124"/>
      <c r="AM20" s="125"/>
      <c r="AN20" s="126"/>
      <c r="AO20" s="66">
        <f t="shared" si="21"/>
      </c>
      <c r="AQ20" s="66">
        <f t="shared" si="22"/>
      </c>
      <c r="AR20" s="179"/>
      <c r="AS20" s="179"/>
      <c r="AT20" s="180">
        <f t="shared" si="23"/>
      </c>
      <c r="AV20" s="66">
        <f>IF(AND(COUNTIF(L20:L20:L20:$L$62,L20)=1,F20+G20&gt;0),L20&amp;"-","")</f>
      </c>
    </row>
    <row r="21" spans="3:48" ht="10.5">
      <c r="C21" s="84">
        <v>19</v>
      </c>
      <c r="D21" s="87" t="str">
        <f>IF(D7="Spieler 3","Verlierer 5",IF(E7="Spieler 19","Verlierer 5",IF(D7=E7,"Freilos",IF(E7="Freilos",E7,IF(D7="Freilos",D7,IF(F7&gt;G7,E7,IF(G7&gt;F7,D7,"Verlierer 5")))))))</f>
        <v>Kömürcü, Levent [20064]</v>
      </c>
      <c r="E21" s="88" t="str">
        <f>IF(D8="Spieler 11","Verlierer 6",IF(E8="Spieler 27","Verlierer 6",IF(D8=E8,"Freilos",IF(D8="Freilos",D8,IF(E8="Freilos",E8,IF(F8&gt;G8,E8,IF(G8&gt;F8,D8,"Verlierer 6")))))))</f>
        <v>Heimmerer, Benjamin [34073]</v>
      </c>
      <c r="F21" s="167">
        <v>72</v>
      </c>
      <c r="G21" s="168">
        <v>75</v>
      </c>
      <c r="H21" s="168">
        <v>13</v>
      </c>
      <c r="I21" s="168">
        <v>14</v>
      </c>
      <c r="J21" s="168">
        <v>14</v>
      </c>
      <c r="K21" s="188">
        <v>25</v>
      </c>
      <c r="L21" s="194">
        <v>2</v>
      </c>
      <c r="M21" s="80" t="str">
        <f t="shared" si="25"/>
        <v>Kömürcü, Levent [20064]</v>
      </c>
      <c r="N21" s="66">
        <f t="shared" si="9"/>
        <v>147</v>
      </c>
      <c r="O21" s="66">
        <f t="shared" si="10"/>
        <v>147</v>
      </c>
      <c r="P21" s="66">
        <f t="shared" si="11"/>
        <v>1</v>
      </c>
      <c r="Q21" s="66">
        <f t="shared" si="24"/>
        <v>1</v>
      </c>
      <c r="R21" s="66">
        <f t="shared" si="12"/>
        <v>0</v>
      </c>
      <c r="S21" s="66">
        <f t="shared" si="13"/>
        <v>1</v>
      </c>
      <c r="T21" s="127">
        <f t="shared" si="14"/>
        <v>0</v>
      </c>
      <c r="U21" s="127">
        <f t="shared" si="15"/>
        <v>3</v>
      </c>
      <c r="V21" s="66">
        <v>19</v>
      </c>
      <c r="W21" s="66" t="str">
        <f>IF(Auslosung_Turnierdaten!F27="","Spieler 19",Auslosung_Turnierdaten!F27)</f>
        <v>Kömürcü, Levent [20064]</v>
      </c>
      <c r="X21" s="66">
        <f t="shared" si="0"/>
        <v>0</v>
      </c>
      <c r="Y21" s="66">
        <f t="shared" si="1"/>
        <v>2</v>
      </c>
      <c r="Z21" s="66">
        <f t="shared" si="2"/>
        <v>0</v>
      </c>
      <c r="AA21" s="66">
        <f t="shared" si="16"/>
        <v>2</v>
      </c>
      <c r="AB21" s="66">
        <f t="shared" si="3"/>
        <v>273</v>
      </c>
      <c r="AC21" s="66">
        <f t="shared" si="4"/>
        <v>123</v>
      </c>
      <c r="AD21" s="66">
        <f t="shared" si="17"/>
        <v>150</v>
      </c>
      <c r="AE21" s="128">
        <f t="shared" si="18"/>
        <v>0.82</v>
      </c>
      <c r="AF21" s="66">
        <f t="shared" si="5"/>
        <v>31</v>
      </c>
      <c r="AG21" s="128">
        <f t="shared" si="19"/>
        <v>3.967741935483871</v>
      </c>
      <c r="AH21" s="128">
        <f t="shared" si="6"/>
        <v>0</v>
      </c>
      <c r="AI21" s="66">
        <f t="shared" si="20"/>
        <v>22</v>
      </c>
      <c r="AJ21" s="66">
        <f t="shared" si="26"/>
        <v>0</v>
      </c>
      <c r="AK21" s="66">
        <f t="shared" si="27"/>
        <v>0</v>
      </c>
      <c r="AL21" s="124"/>
      <c r="AM21" s="125"/>
      <c r="AN21" s="126"/>
      <c r="AO21" s="66">
        <f t="shared" si="21"/>
      </c>
      <c r="AQ21" s="66">
        <f t="shared" si="22"/>
      </c>
      <c r="AR21" s="179"/>
      <c r="AS21" s="179"/>
      <c r="AT21" s="180">
        <f t="shared" si="23"/>
      </c>
      <c r="AV21" s="66" t="str">
        <f>IF(AND(COUNTIF(L21:L21:L21:$L$62,L21)=1,F21+G21&gt;0),L21&amp;"-","")</f>
        <v>2-</v>
      </c>
    </row>
    <row r="22" spans="3:48" ht="10.5">
      <c r="C22" s="84">
        <v>20</v>
      </c>
      <c r="D22" s="87" t="str">
        <f>IF(D9="Spieler 7","Verlierer 7",IF(E9="Spieler 23","Verlierer 7",IF(D9=E9,"Freilos",IF(E9="Freilos",E9,IF(D9="Freilos",D9,IF(F9&gt;G9,E9,IF(G9&gt;F9,D9,"Verlierer 7")))))))</f>
        <v>Voinescu, Florian [31589]</v>
      </c>
      <c r="E22" s="88" t="str">
        <f>IF(D10="Spieler 15","Verlierer 8",IF(E10="Spieler 31","Verlierer 8",IF(D10=E10,"Freilos",IF(D10="Freilos",D10,IF(E10="Freilos",E10,IF(F10&gt;G10,E10,IF(G10&gt;F10,D10,"Verlierer 8")))))))</f>
        <v>Mayr, Stefan [14899]</v>
      </c>
      <c r="F22" s="167">
        <v>75</v>
      </c>
      <c r="G22" s="168">
        <v>31</v>
      </c>
      <c r="H22" s="168">
        <v>14</v>
      </c>
      <c r="I22" s="168">
        <v>13</v>
      </c>
      <c r="J22" s="168">
        <v>24</v>
      </c>
      <c r="K22" s="188">
        <v>7</v>
      </c>
      <c r="L22" s="194">
        <v>3</v>
      </c>
      <c r="M22" s="80" t="str">
        <f t="shared" si="25"/>
        <v>Mayr, Stefan [14899]</v>
      </c>
      <c r="N22" s="66">
        <f t="shared" si="9"/>
        <v>106</v>
      </c>
      <c r="O22" s="66">
        <f t="shared" si="10"/>
        <v>106</v>
      </c>
      <c r="P22" s="66">
        <f t="shared" si="11"/>
        <v>1</v>
      </c>
      <c r="Q22" s="66">
        <f t="shared" si="24"/>
        <v>1</v>
      </c>
      <c r="R22" s="66">
        <f t="shared" si="12"/>
        <v>1</v>
      </c>
      <c r="S22" s="66">
        <f t="shared" si="13"/>
        <v>0</v>
      </c>
      <c r="T22" s="127">
        <f t="shared" si="14"/>
        <v>3</v>
      </c>
      <c r="U22" s="127">
        <f t="shared" si="15"/>
        <v>0</v>
      </c>
      <c r="V22" s="66">
        <v>20</v>
      </c>
      <c r="W22" s="66" t="str">
        <f>IF(Auslosung_Turnierdaten!F28="","Spieler 20",Auslosung_Turnierdaten!F28)</f>
        <v>Bachl, Norbert [16304]</v>
      </c>
      <c r="X22" s="66">
        <f t="shared" si="0"/>
        <v>3</v>
      </c>
      <c r="Y22" s="66">
        <f t="shared" si="1"/>
        <v>3</v>
      </c>
      <c r="Z22" s="66">
        <f t="shared" si="2"/>
        <v>1</v>
      </c>
      <c r="AA22" s="66">
        <f t="shared" si="16"/>
        <v>2</v>
      </c>
      <c r="AB22" s="66">
        <f t="shared" si="3"/>
        <v>372</v>
      </c>
      <c r="AC22" s="66">
        <f t="shared" si="4"/>
        <v>172</v>
      </c>
      <c r="AD22" s="66">
        <f t="shared" si="17"/>
        <v>200</v>
      </c>
      <c r="AE22" s="128">
        <f t="shared" si="18"/>
        <v>0.86</v>
      </c>
      <c r="AF22" s="66">
        <f t="shared" si="5"/>
        <v>87</v>
      </c>
      <c r="AG22" s="128">
        <f t="shared" si="19"/>
        <v>1.9770114942528736</v>
      </c>
      <c r="AH22" s="128">
        <f t="shared" si="6"/>
        <v>2.027027027027027</v>
      </c>
      <c r="AI22" s="66">
        <f t="shared" si="20"/>
        <v>23</v>
      </c>
      <c r="AJ22" s="66">
        <f t="shared" si="26"/>
        <v>2.027027027027027</v>
      </c>
      <c r="AK22" s="66">
        <f t="shared" si="27"/>
        <v>0</v>
      </c>
      <c r="AL22" s="124"/>
      <c r="AM22" s="125"/>
      <c r="AN22" s="126"/>
      <c r="AO22" s="66">
        <f t="shared" si="21"/>
      </c>
      <c r="AQ22" s="66">
        <f t="shared" si="22"/>
      </c>
      <c r="AR22" s="179"/>
      <c r="AS22" s="179"/>
      <c r="AT22" s="180">
        <f t="shared" si="23"/>
      </c>
      <c r="AV22" s="66" t="str">
        <f>IF(AND(COUNTIF(L22:L22:L22:$L$62,L22)=1,F22+G22&gt;0),L22&amp;"-","")</f>
        <v>3-</v>
      </c>
    </row>
    <row r="23" spans="3:48" ht="10.5">
      <c r="C23" s="84">
        <v>21</v>
      </c>
      <c r="D23" s="87" t="str">
        <f>IF(D11="Spieler 2","Verlierer 9",IF(E11="Spieler 18","Verlierer 9",IF(D11=E11,"Freilos",IF(E11="Freilos",E11,IF(D11="Freilos",D11,IF(F11&gt;G11,E11,IF(G11&gt;F11,D11,"Verlierer 9")))))))</f>
        <v>Höcht, Stefan [22445]</v>
      </c>
      <c r="E23" s="88" t="str">
        <f>IF(D12="Spieler 10","Verlierer 10",IF(E12="Spieler 26","Verlierer 10",IF(D12=E12,"Freilos",IF(D12="Freilos",D12,IF(E12="Freilos",E12,IF(F12&gt;G12,E12,IF(G12&gt;F12,D12,"Verlierer 10")))))))</f>
        <v>Fuchs, Reinhard [25179]</v>
      </c>
      <c r="F23" s="167">
        <v>72</v>
      </c>
      <c r="G23" s="168">
        <v>75</v>
      </c>
      <c r="H23" s="168">
        <v>28</v>
      </c>
      <c r="I23" s="168">
        <v>28</v>
      </c>
      <c r="J23" s="168">
        <v>18</v>
      </c>
      <c r="K23" s="188">
        <v>16</v>
      </c>
      <c r="L23" s="194">
        <v>17</v>
      </c>
      <c r="M23" s="80" t="str">
        <f t="shared" si="25"/>
        <v>Höcht, Stefan [22445]</v>
      </c>
      <c r="N23" s="66">
        <f t="shared" si="9"/>
        <v>147</v>
      </c>
      <c r="O23" s="66">
        <f t="shared" si="10"/>
        <v>147</v>
      </c>
      <c r="P23" s="66">
        <f t="shared" si="11"/>
        <v>1</v>
      </c>
      <c r="Q23" s="66">
        <f t="shared" si="24"/>
        <v>1</v>
      </c>
      <c r="R23" s="66">
        <f t="shared" si="12"/>
        <v>0</v>
      </c>
      <c r="S23" s="66">
        <f t="shared" si="13"/>
        <v>1</v>
      </c>
      <c r="T23" s="127">
        <f t="shared" si="14"/>
        <v>0</v>
      </c>
      <c r="U23" s="127">
        <f t="shared" si="15"/>
        <v>3</v>
      </c>
      <c r="V23" s="66">
        <v>21</v>
      </c>
      <c r="W23" s="66" t="str">
        <f>IF(Auslosung_Turnierdaten!F29="","Spieler 21",Auslosung_Turnierdaten!F29)</f>
        <v>Schmid, Andreas [18352]</v>
      </c>
      <c r="X23" s="66">
        <f t="shared" si="0"/>
        <v>6</v>
      </c>
      <c r="Y23" s="66">
        <f t="shared" si="1"/>
        <v>4</v>
      </c>
      <c r="Z23" s="66">
        <f t="shared" si="2"/>
        <v>2</v>
      </c>
      <c r="AA23" s="66">
        <f t="shared" si="16"/>
        <v>2</v>
      </c>
      <c r="AB23" s="66">
        <f t="shared" si="3"/>
        <v>376</v>
      </c>
      <c r="AC23" s="66">
        <f t="shared" si="4"/>
        <v>198</v>
      </c>
      <c r="AD23" s="66">
        <f t="shared" si="17"/>
        <v>178</v>
      </c>
      <c r="AE23" s="128">
        <f t="shared" si="18"/>
        <v>1.1123595505617978</v>
      </c>
      <c r="AF23" s="66">
        <f t="shared" si="5"/>
        <v>36</v>
      </c>
      <c r="AG23" s="128">
        <f t="shared" si="19"/>
        <v>5.5</v>
      </c>
      <c r="AH23" s="128">
        <f t="shared" si="6"/>
        <v>3.75</v>
      </c>
      <c r="AI23" s="66">
        <f t="shared" si="20"/>
        <v>20</v>
      </c>
      <c r="AJ23" s="66">
        <f t="shared" si="26"/>
        <v>3.75</v>
      </c>
      <c r="AK23" s="66">
        <f t="shared" si="27"/>
        <v>0</v>
      </c>
      <c r="AL23" s="124"/>
      <c r="AM23" s="125"/>
      <c r="AN23" s="126"/>
      <c r="AO23" s="66">
        <f t="shared" si="21"/>
      </c>
      <c r="AQ23" s="66">
        <f t="shared" si="22"/>
      </c>
      <c r="AR23" s="179"/>
      <c r="AS23" s="179"/>
      <c r="AT23" s="180">
        <f t="shared" si="23"/>
      </c>
      <c r="AV23" s="66">
        <f>IF(AND(COUNTIF(L23:L23:L23:$L$62,L23)=1,F23+G23&gt;0),L23&amp;"-","")</f>
      </c>
    </row>
    <row r="24" spans="3:48" ht="10.5">
      <c r="C24" s="84">
        <v>22</v>
      </c>
      <c r="D24" s="87" t="str">
        <f>IF(D13="Spieler 6","Verlierer 11",IF(E13="Spieler 22","Verlierer 11",IF(D13=E13,"Freilos",IF(E13="Freilos",E13,IF(D13="Freilos",D13,IF(F13&gt;G13,E13,IF(G13&gt;F13,D13,"Verlierer 11")))))))</f>
        <v>Schröter, Matthias [35127]</v>
      </c>
      <c r="E24" s="88" t="str">
        <f>IF(D14="Spieler 14","Verlierer 12",IF(E14="Spieler 30","Verlierer 12",IF(D14=E14,"Freilos",IF(D14="Freilos",D14,IF(E14="Freilos",E14,IF(F14&gt;G14,E14,IF(G14&gt;F14,D14,"Verlierer 12")))))))</f>
        <v>Spahr, Alexander [29007]</v>
      </c>
      <c r="F24" s="167">
        <v>75</v>
      </c>
      <c r="G24" s="168">
        <v>57</v>
      </c>
      <c r="H24" s="168">
        <v>17</v>
      </c>
      <c r="I24" s="168">
        <v>16</v>
      </c>
      <c r="J24" s="168">
        <v>20</v>
      </c>
      <c r="K24" s="188">
        <v>11</v>
      </c>
      <c r="L24" s="194">
        <v>15</v>
      </c>
      <c r="M24" s="80" t="str">
        <f t="shared" si="25"/>
        <v>Spahr, Alexander [29007]</v>
      </c>
      <c r="N24" s="66">
        <f t="shared" si="9"/>
        <v>132</v>
      </c>
      <c r="O24" s="66">
        <f t="shared" si="10"/>
        <v>132</v>
      </c>
      <c r="P24" s="66">
        <f t="shared" si="11"/>
        <v>1</v>
      </c>
      <c r="Q24" s="66">
        <f t="shared" si="24"/>
        <v>1</v>
      </c>
      <c r="R24" s="66">
        <f t="shared" si="12"/>
        <v>1</v>
      </c>
      <c r="S24" s="66">
        <f t="shared" si="13"/>
        <v>0</v>
      </c>
      <c r="T24" s="127">
        <f t="shared" si="14"/>
        <v>3</v>
      </c>
      <c r="U24" s="127">
        <f t="shared" si="15"/>
        <v>0</v>
      </c>
      <c r="V24" s="66">
        <v>22</v>
      </c>
      <c r="W24" s="66" t="str">
        <f>IF(Auslosung_Turnierdaten!F30="","Spieler 22",Auslosung_Turnierdaten!F30)</f>
        <v>Schröter, Matthias [35127]</v>
      </c>
      <c r="X24" s="66">
        <f t="shared" si="0"/>
        <v>6</v>
      </c>
      <c r="Y24" s="66">
        <f t="shared" si="1"/>
        <v>4</v>
      </c>
      <c r="Z24" s="66">
        <f t="shared" si="2"/>
        <v>2</v>
      </c>
      <c r="AA24" s="66">
        <f t="shared" si="16"/>
        <v>2</v>
      </c>
      <c r="AB24" s="66">
        <f t="shared" si="3"/>
        <v>472</v>
      </c>
      <c r="AC24" s="66">
        <f t="shared" si="4"/>
        <v>233</v>
      </c>
      <c r="AD24" s="66">
        <f t="shared" si="17"/>
        <v>239</v>
      </c>
      <c r="AE24" s="128">
        <f t="shared" si="18"/>
        <v>0.9748953974895398</v>
      </c>
      <c r="AF24" s="66">
        <f t="shared" si="5"/>
        <v>72</v>
      </c>
      <c r="AG24" s="128">
        <f t="shared" si="19"/>
        <v>3.236111111111111</v>
      </c>
      <c r="AH24" s="128">
        <f t="shared" si="6"/>
        <v>5.357142857142857</v>
      </c>
      <c r="AI24" s="66">
        <f t="shared" si="20"/>
        <v>23</v>
      </c>
      <c r="AJ24" s="66">
        <f t="shared" si="26"/>
        <v>5.357142857142857</v>
      </c>
      <c r="AK24" s="66">
        <f t="shared" si="27"/>
        <v>0</v>
      </c>
      <c r="AL24" s="124"/>
      <c r="AM24" s="125"/>
      <c r="AN24" s="126"/>
      <c r="AO24" s="66">
        <f t="shared" si="21"/>
      </c>
      <c r="AQ24" s="66">
        <f t="shared" si="22"/>
      </c>
      <c r="AR24" s="179"/>
      <c r="AS24" s="179"/>
      <c r="AT24" s="180">
        <f t="shared" si="23"/>
      </c>
      <c r="AV24" s="66">
        <f>IF(AND(COUNTIF(L24:L24:L24:$L$62,L24)=1,F24+G24&gt;0),L24&amp;"-","")</f>
      </c>
    </row>
    <row r="25" spans="3:48" ht="10.5">
      <c r="C25" s="84">
        <v>23</v>
      </c>
      <c r="D25" s="87" t="str">
        <f>IF(D15="Spieler 4","Verlierer 13",IF(E15="Spieler 20","Verlierer 13",IF(D15=E15,"Freilos",IF(E15="Freilos",E15,IF(D15="Freilos",D15,IF(F15&gt;G15,E15,IF(G15&gt;F15,D15,"Verlierer 13")))))))</f>
        <v>Bachl, Norbert [16304]</v>
      </c>
      <c r="E25" s="88" t="str">
        <f>IF(D16="Spieler 12","Verlierer 14",IF(E16="Spieler 28","Verlierer 14",IF(D16=E16,"Freilos",IF(D16="Freilos",D16,IF(E16="Freilos",E16,IF(F16&gt;G16,E16,IF(G16&gt;F16,D16,"Verlierer 14")))))))</f>
        <v>Volkert, Frank [37753]</v>
      </c>
      <c r="F25" s="167">
        <v>75</v>
      </c>
      <c r="G25" s="168">
        <v>50</v>
      </c>
      <c r="H25" s="168">
        <v>37</v>
      </c>
      <c r="I25" s="168">
        <v>36</v>
      </c>
      <c r="J25" s="168">
        <v>11</v>
      </c>
      <c r="K25" s="188">
        <v>11</v>
      </c>
      <c r="L25" s="194">
        <v>7</v>
      </c>
      <c r="M25" s="80" t="str">
        <f t="shared" si="25"/>
        <v>Volkert, Frank [37753]</v>
      </c>
      <c r="N25" s="66">
        <f t="shared" si="9"/>
        <v>125</v>
      </c>
      <c r="O25" s="66">
        <f t="shared" si="10"/>
        <v>125</v>
      </c>
      <c r="P25" s="66">
        <f t="shared" si="11"/>
        <v>1</v>
      </c>
      <c r="Q25" s="66">
        <f t="shared" si="24"/>
        <v>1</v>
      </c>
      <c r="R25" s="66">
        <f t="shared" si="12"/>
        <v>1</v>
      </c>
      <c r="S25" s="66">
        <f t="shared" si="13"/>
        <v>0</v>
      </c>
      <c r="T25" s="127">
        <f t="shared" si="14"/>
        <v>3</v>
      </c>
      <c r="U25" s="127">
        <f t="shared" si="15"/>
        <v>0</v>
      </c>
      <c r="V25" s="66">
        <v>23</v>
      </c>
      <c r="W25" s="66" t="str">
        <f>IF(Auslosung_Turnierdaten!F31="","Spieler 23",Auslosung_Turnierdaten!F31)</f>
        <v>Smith, Mike jun. [31558]</v>
      </c>
      <c r="X25" s="66">
        <f t="shared" si="0"/>
        <v>9</v>
      </c>
      <c r="Y25" s="66">
        <f t="shared" si="1"/>
        <v>4</v>
      </c>
      <c r="Z25" s="66">
        <f t="shared" si="2"/>
        <v>2</v>
      </c>
      <c r="AA25" s="66">
        <f t="shared" si="16"/>
        <v>2</v>
      </c>
      <c r="AB25" s="66">
        <f t="shared" si="3"/>
        <v>375</v>
      </c>
      <c r="AC25" s="66">
        <f t="shared" si="4"/>
        <v>161</v>
      </c>
      <c r="AD25" s="66">
        <f t="shared" si="17"/>
        <v>214</v>
      </c>
      <c r="AE25" s="128">
        <f t="shared" si="18"/>
        <v>0.7523364485981309</v>
      </c>
      <c r="AF25" s="66">
        <f t="shared" si="5"/>
        <v>35</v>
      </c>
      <c r="AG25" s="128">
        <f t="shared" si="19"/>
        <v>4.6</v>
      </c>
      <c r="AH25" s="128">
        <f t="shared" si="6"/>
        <v>3.260869565217391</v>
      </c>
      <c r="AI25" s="66">
        <f t="shared" si="20"/>
        <v>20</v>
      </c>
      <c r="AJ25" s="66">
        <f t="shared" si="26"/>
        <v>3.260869565217391</v>
      </c>
      <c r="AK25" s="66">
        <f t="shared" si="27"/>
        <v>0</v>
      </c>
      <c r="AL25" s="124"/>
      <c r="AM25" s="125"/>
      <c r="AN25" s="126"/>
      <c r="AO25" s="66">
        <f t="shared" si="21"/>
      </c>
      <c r="AQ25" s="66">
        <f t="shared" si="22"/>
      </c>
      <c r="AR25" s="179"/>
      <c r="AS25" s="179"/>
      <c r="AT25" s="180">
        <f t="shared" si="23"/>
      </c>
      <c r="AV25" s="66">
        <f>IF(AND(COUNTIF(L25:L25:L25:$L$62,L25)=1,F25+G25&gt;0),L25&amp;"-","")</f>
      </c>
    </row>
    <row r="26" spans="3:48" ht="11.25" thickBot="1">
      <c r="C26" s="84">
        <v>24</v>
      </c>
      <c r="D26" s="89" t="str">
        <f>IF(D17="Spieler 8","Verlierer 15",IF(E17="Spieler 24","Verlierer 15",IF(D17=E17,"Freilos",IF(E17="Freilos",E17,IF(D17="Freilos",D17,IF(F17&gt;G17,E17,IF(G17&gt;F17,D17,"Verlierer 15")))))))</f>
        <v>Kabelin, Sven [24986]</v>
      </c>
      <c r="E26" s="90" t="str">
        <f>IF(D18="Spieler 16","Verlierer 16",IF(E18="Spieler 32","Verlierer 16",IF(D18=E18,"Freilos",IF(D18="Freilos",D18,IF(E18="Freilos",E18,IF(F18&gt;G18,E18,IF(G18&gt;F18,D18,"Verlierer 16")))))))</f>
        <v>Guggemos, Florian [37921]</v>
      </c>
      <c r="F26" s="169">
        <v>75</v>
      </c>
      <c r="G26" s="170">
        <v>69</v>
      </c>
      <c r="H26" s="170">
        <v>28</v>
      </c>
      <c r="I26" s="170">
        <v>27</v>
      </c>
      <c r="J26" s="170">
        <v>17</v>
      </c>
      <c r="K26" s="189">
        <v>13</v>
      </c>
      <c r="L26" s="198">
        <v>16</v>
      </c>
      <c r="M26" s="80" t="str">
        <f t="shared" si="25"/>
        <v>Guggemos, Florian [37921]</v>
      </c>
      <c r="N26" s="66">
        <f t="shared" si="9"/>
        <v>144</v>
      </c>
      <c r="O26" s="66">
        <f t="shared" si="10"/>
        <v>144</v>
      </c>
      <c r="P26" s="66">
        <f t="shared" si="11"/>
        <v>1</v>
      </c>
      <c r="Q26" s="66">
        <f t="shared" si="24"/>
        <v>1</v>
      </c>
      <c r="R26" s="66">
        <f t="shared" si="12"/>
        <v>1</v>
      </c>
      <c r="S26" s="66">
        <f t="shared" si="13"/>
        <v>0</v>
      </c>
      <c r="T26" s="127">
        <f t="shared" si="14"/>
        <v>3</v>
      </c>
      <c r="U26" s="127">
        <f t="shared" si="15"/>
        <v>0</v>
      </c>
      <c r="V26" s="66">
        <v>24</v>
      </c>
      <c r="W26" s="66" t="str">
        <f>IF(Auslosung_Turnierdaten!F32="","Spieler 24",Auslosung_Turnierdaten!F32)</f>
        <v>Kabelin, Sven [24986]</v>
      </c>
      <c r="X26" s="66">
        <f t="shared" si="0"/>
        <v>3</v>
      </c>
      <c r="Y26" s="66">
        <f t="shared" si="1"/>
        <v>3</v>
      </c>
      <c r="Z26" s="66">
        <f t="shared" si="2"/>
        <v>1</v>
      </c>
      <c r="AA26" s="66">
        <f t="shared" si="16"/>
        <v>2</v>
      </c>
      <c r="AB26" s="66">
        <f t="shared" si="3"/>
        <v>425</v>
      </c>
      <c r="AC26" s="66">
        <f t="shared" si="4"/>
        <v>206</v>
      </c>
      <c r="AD26" s="66">
        <f t="shared" si="17"/>
        <v>219</v>
      </c>
      <c r="AE26" s="128">
        <f t="shared" si="18"/>
        <v>0.9406392694063926</v>
      </c>
      <c r="AF26" s="66">
        <f t="shared" si="5"/>
        <v>54</v>
      </c>
      <c r="AG26" s="128">
        <f t="shared" si="19"/>
        <v>3.814814814814815</v>
      </c>
      <c r="AH26" s="128">
        <f t="shared" si="6"/>
        <v>2.6785714285714284</v>
      </c>
      <c r="AI26" s="66">
        <f t="shared" si="20"/>
        <v>27</v>
      </c>
      <c r="AJ26" s="66">
        <f t="shared" si="26"/>
        <v>2.6785714285714284</v>
      </c>
      <c r="AK26" s="66">
        <f t="shared" si="27"/>
        <v>0</v>
      </c>
      <c r="AL26" s="124"/>
      <c r="AM26" s="125"/>
      <c r="AN26" s="126"/>
      <c r="AO26" s="66">
        <f t="shared" si="21"/>
      </c>
      <c r="AQ26" s="66">
        <f t="shared" si="22"/>
      </c>
      <c r="AR26" s="179"/>
      <c r="AS26" s="179"/>
      <c r="AT26" s="180">
        <f t="shared" si="23"/>
      </c>
      <c r="AV26" s="66">
        <f>IF(AND(COUNTIF(L26:L26:L26:$L$62,L26)=1,F26+G26&gt;0),L26&amp;"-","")</f>
      </c>
    </row>
    <row r="27" spans="2:48" ht="11.25" thickBot="1">
      <c r="B27" s="91" t="s">
        <v>40</v>
      </c>
      <c r="C27" s="84">
        <v>25</v>
      </c>
      <c r="D27" s="92" t="str">
        <f>IF(D3="Spieler 1","Sieger 1",IF(E3="Spieler 17","Sieger 1",IF(D3=E3,"Freilos",IF(E3="Freilos",D3,IF(D3="Freilos",E3,IF(F3&gt;G3,D3,IF(G3&gt;F3,E3,"Sieger 1")))))))</f>
        <v>Kuloyants, Valery [34790]</v>
      </c>
      <c r="E27" s="93" t="str">
        <f>IF(D4="Spieler 9","Sieger 2",IF(E4="Spieler 25","Sieger 2",IF(D4=E4,"Freilos",IF(E4="Freilos",D4,IF(D4="Freilos",E4,IF(F4&gt;G4,D4,IF(G4&gt;F4,E4,"Sieger 2")))))))</f>
        <v>Obermeier, Andreas [29213]</v>
      </c>
      <c r="F27" s="171">
        <v>64</v>
      </c>
      <c r="G27" s="172">
        <v>75</v>
      </c>
      <c r="H27" s="172">
        <v>6</v>
      </c>
      <c r="I27" s="172">
        <v>7</v>
      </c>
      <c r="J27" s="172">
        <v>49</v>
      </c>
      <c r="K27" s="195">
        <v>45</v>
      </c>
      <c r="L27" s="158">
        <v>5</v>
      </c>
      <c r="M27" s="80"/>
      <c r="N27" s="66">
        <f t="shared" si="9"/>
        <v>139</v>
      </c>
      <c r="O27" s="66">
        <f t="shared" si="10"/>
        <v>139</v>
      </c>
      <c r="P27" s="66">
        <f t="shared" si="11"/>
        <v>1</v>
      </c>
      <c r="Q27" s="66">
        <f t="shared" si="24"/>
        <v>1</v>
      </c>
      <c r="R27" s="66">
        <f t="shared" si="12"/>
        <v>0</v>
      </c>
      <c r="S27" s="66">
        <f t="shared" si="13"/>
        <v>1</v>
      </c>
      <c r="T27" s="127">
        <f>IF(E27="Freilos",6,IF(F27&gt;G27,6,0))</f>
        <v>0</v>
      </c>
      <c r="U27" s="127">
        <f>IF(D27="Freilos",6,IF(G27&gt;F27,6,0))</f>
        <v>6</v>
      </c>
      <c r="V27" s="66">
        <v>25</v>
      </c>
      <c r="W27" s="66" t="str">
        <f>IF(Auslosung_Turnierdaten!F33="","Spieler 25",Auslosung_Turnierdaten!F33)</f>
        <v>Caranica, Philipp [32781]</v>
      </c>
      <c r="X27" s="66">
        <f t="shared" si="0"/>
        <v>3</v>
      </c>
      <c r="Y27" s="66">
        <f t="shared" si="1"/>
        <v>3</v>
      </c>
      <c r="Z27" s="66">
        <f t="shared" si="2"/>
        <v>1</v>
      </c>
      <c r="AA27" s="66">
        <f t="shared" si="16"/>
        <v>2</v>
      </c>
      <c r="AB27" s="66">
        <f t="shared" si="3"/>
        <v>291</v>
      </c>
      <c r="AC27" s="66">
        <f t="shared" si="4"/>
        <v>124</v>
      </c>
      <c r="AD27" s="66">
        <f t="shared" si="17"/>
        <v>167</v>
      </c>
      <c r="AE27" s="128">
        <f t="shared" si="18"/>
        <v>0.7425149700598802</v>
      </c>
      <c r="AF27" s="66">
        <f t="shared" si="5"/>
        <v>26</v>
      </c>
      <c r="AG27" s="128">
        <f t="shared" si="19"/>
        <v>4.769230769230769</v>
      </c>
      <c r="AH27" s="128">
        <f t="shared" si="6"/>
        <v>6.818181818181818</v>
      </c>
      <c r="AI27" s="66">
        <f t="shared" si="20"/>
        <v>24</v>
      </c>
      <c r="AJ27" s="66">
        <f t="shared" si="26"/>
        <v>6.818181818181818</v>
      </c>
      <c r="AK27" s="66">
        <f t="shared" si="27"/>
        <v>0</v>
      </c>
      <c r="AL27" s="124"/>
      <c r="AM27" s="125"/>
      <c r="AN27" s="126"/>
      <c r="AO27" s="66">
        <f t="shared" si="21"/>
      </c>
      <c r="AQ27" s="66">
        <f t="shared" si="22"/>
      </c>
      <c r="AR27" s="179"/>
      <c r="AS27" s="179"/>
      <c r="AT27" s="180">
        <f t="shared" si="23"/>
      </c>
      <c r="AV27" s="66" t="str">
        <f>IF(AND(COUNTIF(L27:L27:L27:$L$62,L27)=1,F27+G27&gt;0),L27&amp;"-","")</f>
        <v>5-</v>
      </c>
    </row>
    <row r="28" spans="3:48" ht="11.25" thickBot="1">
      <c r="C28" s="84">
        <v>26</v>
      </c>
      <c r="D28" s="94" t="str">
        <f>IF(D5="Spieler 5","Sieger 3",IF(E5="Spieler 21","Sieger 3",IF(D5=E5,"Freilos",IF(E5="Freilos",D5,IF(D5="Freilos",E5,IF(F5&gt;G5,D5,IF(G5&gt;F5,E5,"Sieger 3")))))))</f>
        <v>Schmid, Andreas [18352]</v>
      </c>
      <c r="E28" s="95" t="str">
        <f>IF(D6="Spieler 13","Sieger 4",IF(E6="Spieler 29","Sieger 4",IF(D6=E6,"Freilos",IF(E6="Freilos",D6,IF(D6="Freilos",E6,IF(F6&gt;G6,D6,IF(G6&gt;F6,E6,"Sieger 4")))))))</f>
        <v>Dingler, Christian [20927]</v>
      </c>
      <c r="F28" s="173">
        <v>50</v>
      </c>
      <c r="G28" s="174">
        <v>75</v>
      </c>
      <c r="H28" s="174">
        <v>13</v>
      </c>
      <c r="I28" s="174">
        <v>14</v>
      </c>
      <c r="J28" s="174">
        <v>20</v>
      </c>
      <c r="K28" s="196">
        <v>21</v>
      </c>
      <c r="L28" s="161">
        <v>19</v>
      </c>
      <c r="M28" s="80"/>
      <c r="N28" s="66">
        <f t="shared" si="9"/>
        <v>125</v>
      </c>
      <c r="O28" s="66">
        <f t="shared" si="10"/>
        <v>125</v>
      </c>
      <c r="P28" s="66">
        <f t="shared" si="11"/>
        <v>1</v>
      </c>
      <c r="Q28" s="66">
        <f t="shared" si="24"/>
        <v>1</v>
      </c>
      <c r="R28" s="66">
        <f t="shared" si="12"/>
        <v>0</v>
      </c>
      <c r="S28" s="66">
        <f t="shared" si="13"/>
        <v>1</v>
      </c>
      <c r="T28" s="127">
        <f aca="true" t="shared" si="28" ref="T28:T34">IF(E28="Freilos",6,IF(F28&gt;G28,6,0))</f>
        <v>0</v>
      </c>
      <c r="U28" s="127">
        <f aca="true" t="shared" si="29" ref="U28:U34">IF(D28="Freilos",6,IF(G28&gt;F28,6,0))</f>
        <v>6</v>
      </c>
      <c r="V28" s="66">
        <v>26</v>
      </c>
      <c r="W28" s="66" t="str">
        <f>IF(Auslosung_Turnierdaten!F34="","Spieler 26",Auslosung_Turnierdaten!F34)</f>
        <v>Reutter, Harald [20274]</v>
      </c>
      <c r="X28" s="66">
        <f t="shared" si="0"/>
        <v>6</v>
      </c>
      <c r="Y28" s="66">
        <f t="shared" si="1"/>
        <v>4</v>
      </c>
      <c r="Z28" s="66">
        <f t="shared" si="2"/>
        <v>2</v>
      </c>
      <c r="AA28" s="66">
        <f t="shared" si="16"/>
        <v>2</v>
      </c>
      <c r="AB28" s="66">
        <f t="shared" si="3"/>
        <v>545</v>
      </c>
      <c r="AC28" s="66">
        <f t="shared" si="4"/>
        <v>253</v>
      </c>
      <c r="AD28" s="66">
        <f t="shared" si="17"/>
        <v>292</v>
      </c>
      <c r="AE28" s="128">
        <f t="shared" si="18"/>
        <v>0.8664383561643836</v>
      </c>
      <c r="AF28" s="66">
        <f t="shared" si="5"/>
        <v>90</v>
      </c>
      <c r="AG28" s="128">
        <f t="shared" si="19"/>
        <v>2.811111111111111</v>
      </c>
      <c r="AH28" s="128">
        <f t="shared" si="6"/>
        <v>3.9473684210526314</v>
      </c>
      <c r="AI28" s="66">
        <f t="shared" si="20"/>
        <v>25</v>
      </c>
      <c r="AJ28" s="66">
        <f t="shared" si="26"/>
        <v>3.9473684210526314</v>
      </c>
      <c r="AK28" s="66">
        <f t="shared" si="27"/>
        <v>0</v>
      </c>
      <c r="AL28" s="124"/>
      <c r="AM28" s="125"/>
      <c r="AN28" s="126"/>
      <c r="AO28" s="66">
        <f t="shared" si="21"/>
      </c>
      <c r="AQ28" s="66">
        <f t="shared" si="22"/>
      </c>
      <c r="AR28" s="179"/>
      <c r="AS28" s="179"/>
      <c r="AT28" s="180">
        <f t="shared" si="23"/>
      </c>
      <c r="AV28" s="66">
        <f>IF(AND(COUNTIF(L28:L28:L28:$L$62,L28)=1,F28+G28&gt;0),L28&amp;"-","")</f>
      </c>
    </row>
    <row r="29" spans="3:48" ht="10.5">
      <c r="C29" s="84">
        <v>27</v>
      </c>
      <c r="D29" s="94" t="str">
        <f>IF(D7="Spieler 3","Sieger 5",IF(E7="Spieler 19","Sieger 5",IF(D7=E7,"Freilos",IF(E7="Freilos",D7,IF(D7="Freilos",E7,IF(F7&gt;G7,D7,IF(G7&gt;F7,E7,"Sieger 5")))))))</f>
        <v>Schnürch, Martin [23070]</v>
      </c>
      <c r="E29" s="95" t="str">
        <f>IF(D8="Spieler 11","Sieger 6",IF(E8="Spieler 27","Sieger 6",IF(D8=E8,"Freilos",IF(E8="Freilos",D8,IF(D8="Freilos",E8,IF(F8&gt;G8,D8,IF(G8&gt;F8,E8,"Sieger 6")))))))</f>
        <v>Hirschbichler, Robert [22548]</v>
      </c>
      <c r="F29" s="173">
        <v>63</v>
      </c>
      <c r="G29" s="174">
        <v>75</v>
      </c>
      <c r="H29" s="174">
        <v>6</v>
      </c>
      <c r="I29" s="174">
        <v>7</v>
      </c>
      <c r="J29" s="174">
        <v>28</v>
      </c>
      <c r="K29" s="196">
        <v>43</v>
      </c>
      <c r="L29" s="161">
        <v>11</v>
      </c>
      <c r="M29" s="132" t="s">
        <v>91</v>
      </c>
      <c r="N29" s="66">
        <f t="shared" si="9"/>
        <v>138</v>
      </c>
      <c r="O29" s="66">
        <f t="shared" si="10"/>
        <v>138</v>
      </c>
      <c r="P29" s="66">
        <f t="shared" si="11"/>
        <v>1</v>
      </c>
      <c r="Q29" s="66">
        <f t="shared" si="24"/>
        <v>1</v>
      </c>
      <c r="R29" s="66">
        <f t="shared" si="12"/>
        <v>0</v>
      </c>
      <c r="S29" s="66">
        <f t="shared" si="13"/>
        <v>1</v>
      </c>
      <c r="T29" s="127">
        <f t="shared" si="28"/>
        <v>0</v>
      </c>
      <c r="U29" s="127">
        <f t="shared" si="29"/>
        <v>6</v>
      </c>
      <c r="V29" s="66">
        <v>27</v>
      </c>
      <c r="W29" s="66" t="str">
        <f>IF(Auslosung_Turnierdaten!F35="","Spieler 27",Auslosung_Turnierdaten!F35)</f>
        <v>Hirschbichler, Robert [22548]</v>
      </c>
      <c r="X29" s="66">
        <f t="shared" si="0"/>
        <v>12</v>
      </c>
      <c r="Y29" s="66">
        <f t="shared" si="1"/>
        <v>4</v>
      </c>
      <c r="Z29" s="66">
        <f t="shared" si="2"/>
        <v>3</v>
      </c>
      <c r="AA29" s="66">
        <f t="shared" si="16"/>
        <v>1</v>
      </c>
      <c r="AB29" s="66">
        <f t="shared" si="3"/>
        <v>419</v>
      </c>
      <c r="AC29" s="66">
        <f t="shared" si="4"/>
        <v>259</v>
      </c>
      <c r="AD29" s="66">
        <f t="shared" si="17"/>
        <v>160</v>
      </c>
      <c r="AE29" s="128">
        <f t="shared" si="18"/>
        <v>1.61875</v>
      </c>
      <c r="AF29" s="66">
        <f t="shared" si="5"/>
        <v>28</v>
      </c>
      <c r="AG29" s="128">
        <f t="shared" si="19"/>
        <v>9.25</v>
      </c>
      <c r="AH29" s="128">
        <f t="shared" si="6"/>
        <v>12.5</v>
      </c>
      <c r="AI29" s="66">
        <f t="shared" si="20"/>
        <v>43</v>
      </c>
      <c r="AJ29" s="66">
        <f t="shared" si="26"/>
        <v>12.5</v>
      </c>
      <c r="AK29" s="66">
        <f t="shared" si="27"/>
        <v>0</v>
      </c>
      <c r="AL29" s="124"/>
      <c r="AM29" s="125"/>
      <c r="AN29" s="126"/>
      <c r="AO29" s="66">
        <f t="shared" si="21"/>
      </c>
      <c r="AQ29" s="66">
        <f t="shared" si="22"/>
      </c>
      <c r="AR29" s="179"/>
      <c r="AS29" s="179"/>
      <c r="AT29" s="180">
        <f t="shared" si="23"/>
      </c>
      <c r="AV29" s="66">
        <f>IF(AND(COUNTIF(L29:L29:L29:$L$62,L29)=1,F29+G29&gt;0),L29&amp;"-","")</f>
      </c>
    </row>
    <row r="30" spans="3:48" ht="10.5">
      <c r="C30" s="84">
        <v>28</v>
      </c>
      <c r="D30" s="94" t="str">
        <f>IF(D9="Spieler 7","Sieger 7",IF(E9="Spieler 23","Sieger 7",IF(D9=E9,"Freilos",IF(E9="Freilos",D9,IF(D9="Freilos",E9,IF(F9&gt;G9,D9,IF(G9&gt;F9,E9,"Sieger 7")))))))</f>
        <v>Smith, Mike jun. [31558]</v>
      </c>
      <c r="E30" s="95" t="str">
        <f>IF(D10="Spieler 15","Sieger 8",IF(E10="Spieler 31","Sieger 4",IF(D10=E10,"Freilos",IF(E10="Freilos",D10,IF(D10="Freilos",E10,IF(F10&gt;G10,D10,IF(G10&gt;F10,E10,"Sieger 8")))))))</f>
        <v>Braun, Dennis [39840]</v>
      </c>
      <c r="F30" s="173">
        <v>75</v>
      </c>
      <c r="G30" s="174">
        <v>64</v>
      </c>
      <c r="H30" s="174">
        <v>23</v>
      </c>
      <c r="I30" s="174">
        <v>22</v>
      </c>
      <c r="J30" s="174">
        <v>20</v>
      </c>
      <c r="K30" s="196">
        <v>10</v>
      </c>
      <c r="L30" s="161">
        <v>7</v>
      </c>
      <c r="M30" s="138" t="s">
        <v>92</v>
      </c>
      <c r="N30" s="66">
        <f t="shared" si="9"/>
        <v>139</v>
      </c>
      <c r="O30" s="66">
        <f t="shared" si="10"/>
        <v>139</v>
      </c>
      <c r="P30" s="66">
        <f t="shared" si="11"/>
        <v>1</v>
      </c>
      <c r="Q30" s="66">
        <f t="shared" si="24"/>
        <v>1</v>
      </c>
      <c r="R30" s="66">
        <f t="shared" si="12"/>
        <v>1</v>
      </c>
      <c r="S30" s="66">
        <f t="shared" si="13"/>
        <v>0</v>
      </c>
      <c r="T30" s="127">
        <f t="shared" si="28"/>
        <v>6</v>
      </c>
      <c r="U30" s="127">
        <f t="shared" si="29"/>
        <v>0</v>
      </c>
      <c r="V30" s="66">
        <v>28</v>
      </c>
      <c r="W30" s="66" t="str">
        <f>IF(Auslosung_Turnierdaten!F36="","Spieler 28",Auslosung_Turnierdaten!F36)</f>
        <v>Volkert, Frank [37753]</v>
      </c>
      <c r="X30" s="66">
        <f t="shared" si="0"/>
        <v>0</v>
      </c>
      <c r="Y30" s="66">
        <f t="shared" si="1"/>
        <v>2</v>
      </c>
      <c r="Z30" s="66">
        <f t="shared" si="2"/>
        <v>0</v>
      </c>
      <c r="AA30" s="66">
        <f t="shared" si="16"/>
        <v>2</v>
      </c>
      <c r="AB30" s="66">
        <f t="shared" si="3"/>
        <v>261</v>
      </c>
      <c r="AC30" s="66">
        <f t="shared" si="4"/>
        <v>111</v>
      </c>
      <c r="AD30" s="66">
        <f t="shared" si="17"/>
        <v>150</v>
      </c>
      <c r="AE30" s="128">
        <f t="shared" si="18"/>
        <v>0.74</v>
      </c>
      <c r="AF30" s="66">
        <f t="shared" si="5"/>
        <v>74</v>
      </c>
      <c r="AG30" s="128">
        <f t="shared" si="19"/>
        <v>1.5</v>
      </c>
      <c r="AH30" s="128">
        <f t="shared" si="6"/>
        <v>0</v>
      </c>
      <c r="AI30" s="66">
        <f t="shared" si="20"/>
        <v>11</v>
      </c>
      <c r="AJ30" s="66">
        <f t="shared" si="26"/>
        <v>0</v>
      </c>
      <c r="AK30" s="66">
        <f t="shared" si="27"/>
        <v>0</v>
      </c>
      <c r="AL30" s="124"/>
      <c r="AM30" s="125"/>
      <c r="AN30" s="126"/>
      <c r="AO30" s="66">
        <f t="shared" si="21"/>
      </c>
      <c r="AQ30" s="66">
        <f t="shared" si="22"/>
      </c>
      <c r="AR30" s="179"/>
      <c r="AS30" s="179"/>
      <c r="AT30" s="180">
        <f t="shared" si="23"/>
      </c>
      <c r="AV30" s="66" t="str">
        <f>IF(AND(COUNTIF(L30:L30:L30:$L$62,L30)=1,F30+G30&gt;0),L30&amp;"-","")</f>
        <v>7-</v>
      </c>
    </row>
    <row r="31" spans="3:48" ht="11.25" thickBot="1">
      <c r="C31" s="84">
        <v>29</v>
      </c>
      <c r="D31" s="94" t="str">
        <f>IF(D11="Spieler 2","Sieger 9",IF(E11="Spieler 18","Sieger 9",IF(D11=E11,"Freilos",IF(E11="Freilos",D11,IF(D11="Freilos",E11,IF(F11&gt;G11,D11,IF(G11&gt;F11,E11,"Sieger 9")))))))</f>
        <v>Uitz, Richard [16651]</v>
      </c>
      <c r="E31" s="95" t="str">
        <f>IF(D12="Spieler 10","Sieger 10",IF(E12="Spieler 26","Sieger 10",IF(D12=E12,"Freilos",IF(E12="Freilos",D12,IF(D12="Freilos",E12,IF(F12&gt;G12,D12,IF(G12&gt;F12,E12,"Sieger 10")))))))</f>
        <v>Reutter, Harald [20274]</v>
      </c>
      <c r="F31" s="173">
        <v>75</v>
      </c>
      <c r="G31" s="174">
        <v>52</v>
      </c>
      <c r="H31" s="174">
        <v>29</v>
      </c>
      <c r="I31" s="174">
        <v>28</v>
      </c>
      <c r="J31" s="174">
        <v>20</v>
      </c>
      <c r="K31" s="196">
        <v>8</v>
      </c>
      <c r="L31" s="161">
        <v>13</v>
      </c>
      <c r="M31" s="139" t="s">
        <v>90</v>
      </c>
      <c r="N31" s="66">
        <f t="shared" si="9"/>
        <v>127</v>
      </c>
      <c r="O31" s="66">
        <f t="shared" si="10"/>
        <v>127</v>
      </c>
      <c r="P31" s="66">
        <f t="shared" si="11"/>
        <v>1</v>
      </c>
      <c r="Q31" s="66">
        <f t="shared" si="24"/>
        <v>1</v>
      </c>
      <c r="R31" s="66">
        <f t="shared" si="12"/>
        <v>1</v>
      </c>
      <c r="S31" s="66">
        <f t="shared" si="13"/>
        <v>0</v>
      </c>
      <c r="T31" s="127">
        <f t="shared" si="28"/>
        <v>6</v>
      </c>
      <c r="U31" s="127">
        <f t="shared" si="29"/>
        <v>0</v>
      </c>
      <c r="V31" s="66">
        <v>29</v>
      </c>
      <c r="W31" s="66" t="str">
        <f>IF(Auslosung_Turnierdaten!F37="","Spieler 29",Auslosung_Turnierdaten!F37)</f>
        <v>Dingler, Christian [20927]</v>
      </c>
      <c r="X31" s="66">
        <f t="shared" si="0"/>
        <v>9</v>
      </c>
      <c r="Y31" s="66">
        <f t="shared" si="1"/>
        <v>4</v>
      </c>
      <c r="Z31" s="66">
        <f t="shared" si="2"/>
        <v>2</v>
      </c>
      <c r="AA31" s="66">
        <f t="shared" si="16"/>
        <v>2</v>
      </c>
      <c r="AB31" s="66">
        <f t="shared" si="3"/>
        <v>494</v>
      </c>
      <c r="AC31" s="66">
        <f t="shared" si="4"/>
        <v>222</v>
      </c>
      <c r="AD31" s="66">
        <f t="shared" si="17"/>
        <v>272</v>
      </c>
      <c r="AE31" s="128">
        <f t="shared" si="18"/>
        <v>0.8161764705882353</v>
      </c>
      <c r="AF31" s="66">
        <f t="shared" si="5"/>
        <v>56</v>
      </c>
      <c r="AG31" s="128">
        <f t="shared" si="19"/>
        <v>3.9642857142857144</v>
      </c>
      <c r="AH31" s="128">
        <f t="shared" si="6"/>
        <v>5.357142857142857</v>
      </c>
      <c r="AI31" s="66">
        <f t="shared" si="20"/>
        <v>29</v>
      </c>
      <c r="AJ31" s="66">
        <f t="shared" si="26"/>
        <v>5.357142857142857</v>
      </c>
      <c r="AK31" s="66">
        <f t="shared" si="27"/>
        <v>0</v>
      </c>
      <c r="AL31" s="124"/>
      <c r="AM31" s="125"/>
      <c r="AN31" s="126"/>
      <c r="AO31" s="66">
        <f t="shared" si="21"/>
      </c>
      <c r="AQ31" s="66">
        <f t="shared" si="22"/>
      </c>
      <c r="AR31" s="179"/>
      <c r="AS31" s="179"/>
      <c r="AT31" s="180">
        <f t="shared" si="23"/>
      </c>
      <c r="AV31" s="66">
        <f>IF(AND(COUNTIF(L31:L31:L31:$L$62,L31)=1,F31+G31&gt;0),L31&amp;"-","")</f>
      </c>
    </row>
    <row r="32" spans="3:48" ht="10.5">
      <c r="C32" s="84">
        <v>30</v>
      </c>
      <c r="D32" s="94" t="str">
        <f>IF(D13="Spieler 6","Sieger 11",IF(E13="Spieler 22","Sieger 11",IF(D13=E13,"Freilos",IF(E13="Freilos",D13,IF(D13="Freilos",E13,IF(F13&gt;G13,D13,IF(G13&gt;F13,E13,"Sieger 11")))))))</f>
        <v>Scholz, Jürgen [35124]</v>
      </c>
      <c r="E32" s="95" t="str">
        <f>IF(D14="Spieler 14","Sieger 12",IF(E14="Spieler 30","Sieger 12",IF(D14=E14,"Freilos",IF(E14="Freilos",D14,IF(D14="Freilos",E14,IF(F14&gt;G14,D14,IF(G14&gt;F14,E14,"Sieger 12")))))))</f>
        <v>Scholz, Federico [34523]</v>
      </c>
      <c r="F32" s="173">
        <v>75</v>
      </c>
      <c r="G32" s="174">
        <v>60</v>
      </c>
      <c r="H32" s="174">
        <v>17</v>
      </c>
      <c r="I32" s="174">
        <v>16</v>
      </c>
      <c r="J32" s="174">
        <v>27</v>
      </c>
      <c r="K32" s="196">
        <v>20</v>
      </c>
      <c r="L32" s="161">
        <v>9</v>
      </c>
      <c r="N32" s="66">
        <f t="shared" si="9"/>
        <v>135</v>
      </c>
      <c r="O32" s="66">
        <f t="shared" si="10"/>
        <v>135</v>
      </c>
      <c r="P32" s="66">
        <f t="shared" si="11"/>
        <v>1</v>
      </c>
      <c r="Q32" s="66">
        <f t="shared" si="24"/>
        <v>1</v>
      </c>
      <c r="R32" s="66">
        <f t="shared" si="12"/>
        <v>1</v>
      </c>
      <c r="S32" s="66">
        <f t="shared" si="13"/>
        <v>0</v>
      </c>
      <c r="T32" s="127">
        <f t="shared" si="28"/>
        <v>6</v>
      </c>
      <c r="U32" s="127">
        <f t="shared" si="29"/>
        <v>0</v>
      </c>
      <c r="V32" s="66">
        <v>30</v>
      </c>
      <c r="W32" s="66" t="str">
        <f>IF(Auslosung_Turnierdaten!F38="","Spieler 30",Auslosung_Turnierdaten!F38)</f>
        <v>Scholz, Federico [34523]</v>
      </c>
      <c r="X32" s="66">
        <f t="shared" si="0"/>
        <v>3</v>
      </c>
      <c r="Y32" s="66">
        <f t="shared" si="1"/>
        <v>3</v>
      </c>
      <c r="Z32" s="66">
        <f t="shared" si="2"/>
        <v>1</v>
      </c>
      <c r="AA32" s="66">
        <f t="shared" si="16"/>
        <v>2</v>
      </c>
      <c r="AB32" s="66">
        <f t="shared" si="3"/>
        <v>349</v>
      </c>
      <c r="AC32" s="66">
        <f t="shared" si="4"/>
        <v>163</v>
      </c>
      <c r="AD32" s="66">
        <f t="shared" si="17"/>
        <v>186</v>
      </c>
      <c r="AE32" s="128">
        <f t="shared" si="18"/>
        <v>0.8763440860215054</v>
      </c>
      <c r="AF32" s="66">
        <f t="shared" si="5"/>
        <v>39</v>
      </c>
      <c r="AG32" s="128">
        <f t="shared" si="19"/>
        <v>4.17948717948718</v>
      </c>
      <c r="AH32" s="128">
        <f t="shared" si="6"/>
        <v>5</v>
      </c>
      <c r="AI32" s="66">
        <f t="shared" si="20"/>
        <v>29</v>
      </c>
      <c r="AJ32" s="66">
        <f t="shared" si="26"/>
        <v>5</v>
      </c>
      <c r="AK32" s="66">
        <f t="shared" si="27"/>
        <v>0</v>
      </c>
      <c r="AL32" s="124"/>
      <c r="AM32" s="125"/>
      <c r="AN32" s="126"/>
      <c r="AO32" s="66">
        <f t="shared" si="21"/>
      </c>
      <c r="AQ32" s="66">
        <f t="shared" si="22"/>
      </c>
      <c r="AR32" s="179"/>
      <c r="AS32" s="179"/>
      <c r="AT32" s="180">
        <f t="shared" si="23"/>
      </c>
      <c r="AV32" s="66">
        <f>IF(AND(COUNTIF(L32:L32:L32:$L$62,L32)=1,F32+G32&gt;0),L32&amp;"-","")</f>
      </c>
    </row>
    <row r="33" spans="3:48" ht="10.5">
      <c r="C33" s="84">
        <v>31</v>
      </c>
      <c r="D33" s="94" t="str">
        <f>IF(D15="Spieler 4","Sieger 13",IF(E15="Spieler 20","Sieger 13",IF(D15=E15,"Freilos",IF(E15="Freilos",D15,IF(D15="Freilos",E15,IF(F15&gt;G15,D15,IF(G15&gt;F15,E15,"Sieger 13")))))))</f>
        <v>Sohal, Tony [37510]</v>
      </c>
      <c r="E33" s="95" t="str">
        <f>IF(D16="Spieler 12","Sieger 14",IF(E16="Spieler 28","Sieger 14",IF(D16=E16,"Freilos",IF(E16="Freilos",D16,IF(D16="Freilos",E16,IF(F16&gt;G16,D16,IF(G16&gt;F16,E16,"Sieger 14")))))))</f>
        <v>Becherer, Thomas [25734]</v>
      </c>
      <c r="F33" s="173">
        <v>65</v>
      </c>
      <c r="G33" s="174">
        <v>75</v>
      </c>
      <c r="H33" s="174">
        <v>30</v>
      </c>
      <c r="I33" s="174">
        <v>30</v>
      </c>
      <c r="J33" s="174">
        <v>11</v>
      </c>
      <c r="K33" s="196">
        <v>15</v>
      </c>
      <c r="L33" s="161">
        <v>15</v>
      </c>
      <c r="M33" s="137"/>
      <c r="N33" s="66">
        <f t="shared" si="9"/>
        <v>140</v>
      </c>
      <c r="O33" s="66">
        <f t="shared" si="10"/>
        <v>140</v>
      </c>
      <c r="P33" s="66">
        <f t="shared" si="11"/>
        <v>1</v>
      </c>
      <c r="Q33" s="66">
        <f t="shared" si="24"/>
        <v>1</v>
      </c>
      <c r="R33" s="66">
        <f t="shared" si="12"/>
        <v>0</v>
      </c>
      <c r="S33" s="66">
        <f t="shared" si="13"/>
        <v>1</v>
      </c>
      <c r="T33" s="127">
        <f t="shared" si="28"/>
        <v>0</v>
      </c>
      <c r="U33" s="127">
        <f t="shared" si="29"/>
        <v>6</v>
      </c>
      <c r="V33" s="66">
        <v>31</v>
      </c>
      <c r="W33" s="66" t="str">
        <f>IF(Auslosung_Turnierdaten!F39="","Spieler 31",Auslosung_Turnierdaten!F39)</f>
        <v>Mayr, Stefan [14899]</v>
      </c>
      <c r="X33" s="66">
        <f t="shared" si="0"/>
        <v>0</v>
      </c>
      <c r="Y33" s="66">
        <f t="shared" si="1"/>
        <v>2</v>
      </c>
      <c r="Z33" s="66">
        <f t="shared" si="2"/>
        <v>0</v>
      </c>
      <c r="AA33" s="66">
        <f t="shared" si="16"/>
        <v>2</v>
      </c>
      <c r="AB33" s="66">
        <f t="shared" si="3"/>
        <v>209</v>
      </c>
      <c r="AC33" s="66">
        <f t="shared" si="4"/>
        <v>59</v>
      </c>
      <c r="AD33" s="66">
        <f t="shared" si="17"/>
        <v>150</v>
      </c>
      <c r="AE33" s="128">
        <f t="shared" si="18"/>
        <v>0.3933333333333333</v>
      </c>
      <c r="AF33" s="66">
        <f t="shared" si="5"/>
        <v>19</v>
      </c>
      <c r="AG33" s="128">
        <f t="shared" si="19"/>
        <v>3.1052631578947367</v>
      </c>
      <c r="AH33" s="128">
        <f t="shared" si="6"/>
        <v>0</v>
      </c>
      <c r="AI33" s="66">
        <f t="shared" si="20"/>
        <v>10</v>
      </c>
      <c r="AJ33" s="66">
        <f t="shared" si="26"/>
        <v>0</v>
      </c>
      <c r="AK33" s="66">
        <f t="shared" si="27"/>
        <v>0</v>
      </c>
      <c r="AL33" s="124"/>
      <c r="AM33" s="125"/>
      <c r="AN33" s="126"/>
      <c r="AO33" s="66">
        <f t="shared" si="21"/>
      </c>
      <c r="AQ33" s="66">
        <f>IF(OR(D33="Freilos",E33="Freilos"),1,"")</f>
      </c>
      <c r="AR33" s="179"/>
      <c r="AS33" s="179"/>
      <c r="AT33" s="180">
        <f t="shared" si="23"/>
      </c>
      <c r="AV33" s="66">
        <f>IF(AND(COUNTIF(L33:L33:L33:$L$62,L33)=1,F33+G33&gt;0),L33&amp;"-","")</f>
      </c>
    </row>
    <row r="34" spans="3:48" ht="11.25" thickBot="1">
      <c r="C34" s="84">
        <v>32</v>
      </c>
      <c r="D34" s="96" t="str">
        <f>IF(D17="Spieler 8","Sieger 15",IF(E17="Spieler 24","Sieger 15",IF(D17=E17,"Freilos",IF(E17="Freilos",D17,IF(D17="Freilos",E17,IF(F17&gt;G17,D17,IF(G17&gt;F17,E17,"Sieger 15")))))))</f>
        <v>Au-Yeung, Michael [24627]</v>
      </c>
      <c r="E34" s="97" t="str">
        <f>IF(D18="Spieler 16","Sieger 16",IF(E18="Spieler 32","Sieger 16",IF(D18=E18,"Freilos",IF(E18="Freilos",D18,IF(D18="Freilos",E18,IF(F18&gt;G18,D18,IF(G18&gt;F18,E18,"Sieger 16")))))))</f>
        <v>Gruber, Stefan [30145]</v>
      </c>
      <c r="F34" s="184">
        <v>75</v>
      </c>
      <c r="G34" s="185">
        <v>56</v>
      </c>
      <c r="H34" s="185">
        <v>7</v>
      </c>
      <c r="I34" s="185">
        <v>7</v>
      </c>
      <c r="J34" s="185">
        <v>30</v>
      </c>
      <c r="K34" s="197">
        <v>19</v>
      </c>
      <c r="L34" s="164">
        <v>20</v>
      </c>
      <c r="M34" s="137"/>
      <c r="N34" s="66">
        <f t="shared" si="9"/>
        <v>131</v>
      </c>
      <c r="O34" s="66">
        <f t="shared" si="10"/>
        <v>131</v>
      </c>
      <c r="P34" s="66">
        <f t="shared" si="11"/>
        <v>1</v>
      </c>
      <c r="Q34" s="66">
        <f t="shared" si="24"/>
        <v>1</v>
      </c>
      <c r="R34" s="66">
        <f t="shared" si="12"/>
        <v>1</v>
      </c>
      <c r="S34" s="66">
        <f t="shared" si="13"/>
        <v>0</v>
      </c>
      <c r="T34" s="127">
        <f t="shared" si="28"/>
        <v>6</v>
      </c>
      <c r="U34" s="127">
        <f t="shared" si="29"/>
        <v>0</v>
      </c>
      <c r="V34" s="66">
        <v>32</v>
      </c>
      <c r="W34" s="66" t="str">
        <f>IF(Auslosung_Turnierdaten!F40="","Spieler 32",Auslosung_Turnierdaten!F40)</f>
        <v>Guggemos, Florian [37921]</v>
      </c>
      <c r="X34" s="66">
        <f t="shared" si="0"/>
        <v>0</v>
      </c>
      <c r="Y34" s="66">
        <f t="shared" si="1"/>
        <v>2</v>
      </c>
      <c r="Z34" s="66">
        <f t="shared" si="2"/>
        <v>0</v>
      </c>
      <c r="AA34" s="66">
        <f t="shared" si="16"/>
        <v>2</v>
      </c>
      <c r="AB34" s="66">
        <f t="shared" si="3"/>
        <v>246</v>
      </c>
      <c r="AC34" s="66">
        <f t="shared" si="4"/>
        <v>96</v>
      </c>
      <c r="AD34" s="66">
        <f t="shared" si="17"/>
        <v>150</v>
      </c>
      <c r="AE34" s="128">
        <f t="shared" si="18"/>
        <v>0.64</v>
      </c>
      <c r="AF34" s="66">
        <f t="shared" si="5"/>
        <v>47</v>
      </c>
      <c r="AG34" s="128">
        <f t="shared" si="19"/>
        <v>2.0425531914893615</v>
      </c>
      <c r="AH34" s="128">
        <f t="shared" si="6"/>
        <v>0</v>
      </c>
      <c r="AI34" s="66">
        <f t="shared" si="20"/>
        <v>13</v>
      </c>
      <c r="AJ34" s="66">
        <f t="shared" si="26"/>
        <v>0</v>
      </c>
      <c r="AK34" s="66">
        <f t="shared" si="27"/>
        <v>0</v>
      </c>
      <c r="AL34" s="124"/>
      <c r="AM34" s="125"/>
      <c r="AN34" s="126"/>
      <c r="AO34" s="66">
        <f t="shared" si="21"/>
      </c>
      <c r="AQ34" s="66">
        <f t="shared" si="22"/>
      </c>
      <c r="AR34" s="179"/>
      <c r="AS34" s="179"/>
      <c r="AT34" s="180">
        <f t="shared" si="23"/>
      </c>
      <c r="AV34" s="66">
        <f>IF(AND(COUNTIF(L34:L34:L34:$L$62,L34)=1,F34+G34&gt;0),L34&amp;"-","")</f>
      </c>
    </row>
    <row r="35" spans="2:48" ht="11.25" thickBot="1">
      <c r="B35" s="83" t="s">
        <v>41</v>
      </c>
      <c r="C35" s="84">
        <v>33</v>
      </c>
      <c r="D35" s="85" t="str">
        <f>IF(D19="Verlierer 1","Sieger 17",IF(E19="Verlierer 2","Sieger 17",IF(D19=E19,"Freilos",IF(E19="Freilos",D19,IF(D19="Freilos",E19,IF(F19&gt;G19,D19,IF(G19&gt;F19,E19,"Sieger 17")))))))</f>
        <v>Caranica, Philipp [32781]</v>
      </c>
      <c r="E35" s="86" t="str">
        <f>IF(D34="Sieger 15","Verlierer 32",IF(E34="Sieger 16","Verlierer 32",IF(D34=E34,"Freilos",IF(D34="Freilos",D34,IF(E34="Freilos",E34,IF(F34&gt;G34,E34,IF(G34&gt;F34,D34,"Verlierer 32")))))))</f>
        <v>Gruber, Stefan [30145]</v>
      </c>
      <c r="F35" s="165">
        <v>0</v>
      </c>
      <c r="G35" s="166">
        <v>75</v>
      </c>
      <c r="H35" s="166">
        <v>3</v>
      </c>
      <c r="I35" s="166">
        <v>4</v>
      </c>
      <c r="J35" s="166">
        <v>0</v>
      </c>
      <c r="K35" s="187">
        <v>43</v>
      </c>
      <c r="L35" s="194">
        <v>11</v>
      </c>
      <c r="M35" s="80" t="str">
        <f aca="true" t="shared" si="30" ref="M35:M42">IF(F35&gt;G35,E35,IF(G35&gt;F35,D35,""))</f>
        <v>Caranica, Philipp [32781]</v>
      </c>
      <c r="N35" s="66">
        <f t="shared" si="9"/>
        <v>75</v>
      </c>
      <c r="O35" s="66">
        <f t="shared" si="10"/>
        <v>75</v>
      </c>
      <c r="P35" s="66">
        <f t="shared" si="11"/>
        <v>1</v>
      </c>
      <c r="Q35" s="66">
        <f t="shared" si="24"/>
        <v>1</v>
      </c>
      <c r="R35" s="66">
        <f t="shared" si="12"/>
        <v>0</v>
      </c>
      <c r="S35" s="66">
        <f t="shared" si="13"/>
        <v>1</v>
      </c>
      <c r="T35" s="127">
        <f t="shared" si="14"/>
        <v>0</v>
      </c>
      <c r="U35" s="127">
        <f t="shared" si="15"/>
        <v>3</v>
      </c>
      <c r="V35" s="98" t="s">
        <v>37</v>
      </c>
      <c r="W35" s="99" t="s">
        <v>2</v>
      </c>
      <c r="X35" s="99" t="s">
        <v>3</v>
      </c>
      <c r="Y35" s="99" t="s">
        <v>5</v>
      </c>
      <c r="Z35" s="99" t="s">
        <v>6</v>
      </c>
      <c r="AA35" s="100" t="s">
        <v>7</v>
      </c>
      <c r="AB35" s="100" t="s">
        <v>8</v>
      </c>
      <c r="AC35" s="100" t="s">
        <v>9</v>
      </c>
      <c r="AD35" s="100" t="str">
        <f>IF(SUM(SP32!AF3:SP32!AI18)&gt;0,"Points","GSp")</f>
        <v>Points</v>
      </c>
      <c r="AE35" s="100" t="str">
        <f>IF(SUM(SP32!AF3:SP32!AI18)&gt;0,"Aufn","VSp")</f>
        <v>Aufn</v>
      </c>
      <c r="AF35" s="100" t="str">
        <f>IF(SUM(SP32!AF3:SP32!AI18)&gt;0,"GD","Quot")</f>
        <v>GD</v>
      </c>
      <c r="AG35" s="99" t="str">
        <f>IF(SUM(SP32!AF3:SP32!AI18)&gt;0,"BED","")</f>
        <v>BED</v>
      </c>
      <c r="AH35" s="101" t="str">
        <f>IF(SUM(SP32!AF3:SP32!AI18)&gt;0,"HS","")</f>
        <v>HS</v>
      </c>
      <c r="AL35" s="124"/>
      <c r="AM35" s="125"/>
      <c r="AN35" s="126"/>
      <c r="AO35" s="66">
        <f t="shared" si="21"/>
      </c>
      <c r="AQ35" s="66">
        <f t="shared" si="22"/>
      </c>
      <c r="AR35" s="179"/>
      <c r="AS35" s="179"/>
      <c r="AT35" s="180">
        <f t="shared" si="23"/>
      </c>
      <c r="AV35" s="66" t="str">
        <f>IF(AND(COUNTIF(L35:L35:L35:$L$62,L35)=1,F35+G35&gt;0),L35&amp;"-","")</f>
        <v>11-</v>
      </c>
    </row>
    <row r="36" spans="3:48" ht="10.5">
      <c r="C36" s="84">
        <v>34</v>
      </c>
      <c r="D36" s="87" t="str">
        <f>IF(D20="Verlierer 3","Sieger 18",IF(E20="Verlierer 4","Sieger 18",IF(D20=E20,"Freilos",IF(E20="Freilos",D20,IF(D20="Freilos",E20,IF(F20&gt;G20,D20,IF(G20&gt;F20,E20,"Sieger 18")))))))</f>
        <v>Meister, Martin [19054]</v>
      </c>
      <c r="E36" s="88" t="str">
        <f>IF(D33="Sieger 13","Verlierer 31",IF(E33="Sieger 14","Verlierer 31",IF(D33=E33,"Freilos",IF(D33="Freilos",D33,IF(E33="Freilos",E33,IF(F33&gt;G33,E33,IF(G33&gt;F33,D33,"Verlierer 31")))))))</f>
        <v>Sohal, Tony [37510]</v>
      </c>
      <c r="F36" s="167">
        <v>75</v>
      </c>
      <c r="G36" s="168">
        <v>36</v>
      </c>
      <c r="H36" s="168">
        <v>11</v>
      </c>
      <c r="I36" s="168">
        <v>11</v>
      </c>
      <c r="J36" s="168">
        <v>34</v>
      </c>
      <c r="K36" s="188">
        <v>10</v>
      </c>
      <c r="L36" s="194">
        <v>15</v>
      </c>
      <c r="M36" s="80" t="str">
        <f t="shared" si="30"/>
        <v>Sohal, Tony [37510]</v>
      </c>
      <c r="N36" s="66">
        <f t="shared" si="9"/>
        <v>111</v>
      </c>
      <c r="O36" s="66">
        <f t="shared" si="10"/>
        <v>111</v>
      </c>
      <c r="P36" s="66">
        <f t="shared" si="11"/>
        <v>1</v>
      </c>
      <c r="Q36" s="66">
        <f t="shared" si="24"/>
        <v>1</v>
      </c>
      <c r="R36" s="66">
        <f t="shared" si="12"/>
        <v>1</v>
      </c>
      <c r="S36" s="66">
        <f t="shared" si="13"/>
        <v>0</v>
      </c>
      <c r="T36" s="127">
        <f t="shared" si="14"/>
        <v>3</v>
      </c>
      <c r="U36" s="127">
        <f t="shared" si="15"/>
        <v>0</v>
      </c>
      <c r="V36" s="102">
        <f>IF(Auslosung_Turnierdaten!F9="","",1)</f>
        <v>1</v>
      </c>
      <c r="W36" s="103" t="str">
        <f>IF(SP32!V36="","",Auslosung_Turnierdaten!F9)</f>
        <v>Kuloyants, Valery [34790]</v>
      </c>
      <c r="X36" s="103" t="str">
        <f>IF(SP32!V36="","",Auslosung_Turnierdaten!G9)</f>
        <v>PBC München-West</v>
      </c>
      <c r="Y36" s="103">
        <f>IF(SP32!V36="","",Auslosung_Turnierdaten!H9)</f>
        <v>0</v>
      </c>
      <c r="Z36" s="103">
        <f>IF(SP32!V36="","",Auslosung_Turnierdaten!I9)</f>
        <v>0</v>
      </c>
      <c r="AA36" s="104">
        <f>IF(SP32!V36="","",SP32!X3)</f>
        <v>18</v>
      </c>
      <c r="AB36" s="104">
        <f>IF(SP32!V36="","",SP32!Z3)</f>
        <v>6</v>
      </c>
      <c r="AC36" s="104">
        <f>IF(SP32!V36="","",SP32!AA3)</f>
        <v>2</v>
      </c>
      <c r="AD36" s="104">
        <f>IF(SP32!V36="","",SP32!AC3)</f>
        <v>584</v>
      </c>
      <c r="AE36" s="104">
        <f>IF(SP32!V36="","",IF(AE35="VSp",SP32!AD3,SP32!AF3))</f>
        <v>62</v>
      </c>
      <c r="AF36" s="105">
        <f>IF(SP32!V36="","",IF(AF35="Quot",SP32!AE3,SP32!AG3))</f>
        <v>9.419354838709678</v>
      </c>
      <c r="AG36" s="105">
        <f>IF(AG35="BED",SP32!AH3,"")</f>
        <v>75</v>
      </c>
      <c r="AH36" s="110">
        <f>IF(AH35="HS",SP32!AI3,"")</f>
        <v>75</v>
      </c>
      <c r="AL36" s="124"/>
      <c r="AM36" s="125"/>
      <c r="AN36" s="126"/>
      <c r="AO36" s="66">
        <f t="shared" si="21"/>
      </c>
      <c r="AQ36" s="66">
        <f t="shared" si="22"/>
      </c>
      <c r="AR36" s="179"/>
      <c r="AS36" s="179"/>
      <c r="AT36" s="180">
        <f t="shared" si="23"/>
      </c>
      <c r="AV36" s="66" t="str">
        <f>IF(AND(COUNTIF(L36:L36:L36:$L$62,L36)=1,F36+G36&gt;0),L36&amp;"-","")</f>
        <v>15-</v>
      </c>
    </row>
    <row r="37" spans="3:48" ht="10.5">
      <c r="C37" s="84">
        <v>35</v>
      </c>
      <c r="D37" s="87" t="str">
        <f>IF(D21="Verlierer 5","Sieger 19",IF(E21="Verlierer 6","Sieger 19",IF(D21=E21,"Freilos",IF(E21="Freilos",D21,IF(D21="Freilos",E21,IF(F21&gt;G21,D21,IF(G21&gt;F21,E21,"Sieger 19")))))))</f>
        <v>Heimmerer, Benjamin [34073]</v>
      </c>
      <c r="E37" s="88" t="str">
        <f>IF(D32="Sieger 11","Verlierer 30",IF(E32="Sieger 12","Verlierer 30",IF(D32=E32,"Freilos",IF(D32="Freilos",D32,IF(E32="Freilos",E32,IF(F32&gt;G32,E32,IF(G32&gt;F32,D32,"Verlierer 30")))))))</f>
        <v>Scholz, Federico [34523]</v>
      </c>
      <c r="F37" s="167">
        <v>75</v>
      </c>
      <c r="G37" s="168">
        <v>28</v>
      </c>
      <c r="H37" s="168">
        <v>8</v>
      </c>
      <c r="I37" s="168">
        <v>8</v>
      </c>
      <c r="J37" s="168">
        <v>70</v>
      </c>
      <c r="K37" s="188">
        <v>17</v>
      </c>
      <c r="L37" s="194">
        <v>19</v>
      </c>
      <c r="M37" s="80" t="str">
        <f t="shared" si="30"/>
        <v>Scholz, Federico [34523]</v>
      </c>
      <c r="N37" s="66">
        <f t="shared" si="9"/>
        <v>103</v>
      </c>
      <c r="O37" s="66">
        <f t="shared" si="10"/>
        <v>103</v>
      </c>
      <c r="P37" s="66">
        <f t="shared" si="11"/>
        <v>1</v>
      </c>
      <c r="Q37" s="66">
        <f t="shared" si="24"/>
        <v>1</v>
      </c>
      <c r="R37" s="66">
        <f t="shared" si="12"/>
        <v>1</v>
      </c>
      <c r="S37" s="66">
        <f t="shared" si="13"/>
        <v>0</v>
      </c>
      <c r="T37" s="127">
        <f t="shared" si="14"/>
        <v>3</v>
      </c>
      <c r="U37" s="127">
        <f t="shared" si="15"/>
        <v>0</v>
      </c>
      <c r="V37" s="106">
        <f>IF(Auslosung_Turnierdaten!F10="","",2)</f>
        <v>2</v>
      </c>
      <c r="W37" s="107" t="str">
        <f>IF(SP32!V37="","",Auslosung_Turnierdaten!F10)</f>
        <v>Höcht, Stefan [22445]</v>
      </c>
      <c r="X37" s="107" t="str">
        <f>IF(SP32!V37="","",Auslosung_Turnierdaten!G10)</f>
        <v>PBC Mindelheim</v>
      </c>
      <c r="Y37" s="107">
        <f>IF(SP32!V37="","",Auslosung_Turnierdaten!H10)</f>
        <v>0</v>
      </c>
      <c r="Z37" s="107">
        <f>IF(SP32!V37="","",Auslosung_Turnierdaten!I10)</f>
        <v>0</v>
      </c>
      <c r="AA37" s="108">
        <f>IF(SP32!V37="","",SP32!X4)</f>
        <v>0</v>
      </c>
      <c r="AB37" s="108">
        <f>IF(SP32!V37="","",SP32!Z4)</f>
        <v>0</v>
      </c>
      <c r="AC37" s="108">
        <f>IF(SP32!V37="","",SP32!AA4)</f>
        <v>2</v>
      </c>
      <c r="AD37" s="108">
        <f>IF(SP32!V37="","",SP32!AC4)</f>
        <v>125</v>
      </c>
      <c r="AE37" s="108">
        <f>IF(SP32!V37="","",IF(AE35="VSp",SP32!AD4,SP32!AF4))</f>
        <v>44</v>
      </c>
      <c r="AF37" s="109">
        <f>IF(SP32!V37="","",IF(AF35="Quot",SP32!AE4,SP32!AG4))</f>
        <v>2.840909090909091</v>
      </c>
      <c r="AG37" s="109">
        <f>IF(AG35="BED",SP32!AH4,"")</f>
        <v>0</v>
      </c>
      <c r="AH37" s="110">
        <f>IF(AH35="HS",SP32!AI4,"")</f>
        <v>18</v>
      </c>
      <c r="AL37" s="124"/>
      <c r="AM37" s="125"/>
      <c r="AN37" s="126"/>
      <c r="AO37" s="66">
        <f t="shared" si="21"/>
      </c>
      <c r="AQ37" s="66">
        <f t="shared" si="22"/>
      </c>
      <c r="AR37" s="179"/>
      <c r="AS37" s="179"/>
      <c r="AT37" s="180">
        <f t="shared" si="23"/>
      </c>
      <c r="AV37" s="66">
        <f>IF(AND(COUNTIF(L37:L37:L37:$L$62,L37)=1,F37+G37&gt;0),L37&amp;"-","")</f>
      </c>
    </row>
    <row r="38" spans="3:48" ht="10.5">
      <c r="C38" s="84">
        <v>36</v>
      </c>
      <c r="D38" s="87" t="str">
        <f>IF(D22="Verlierer 7","Sieger 20",IF(E22="Verlierer 8","Sieger 20",IF(D22=E22,"Freilos",IF(E22="Freilos",D22,IF(D22="Freilos",E22,IF(F22&gt;G22,D22,IF(G22&gt;F22,E22,"Sieger 20")))))))</f>
        <v>Voinescu, Florian [31589]</v>
      </c>
      <c r="E38" s="88" t="str">
        <f>IF(D31="Sieger 9","Verlierer 29",IF(E31="Sieger 10","Verlierer 29",IF(D31=E31,"Freilos",IF(D31="Freilos",D31,IF(E31="Freilos",E31,IF(F31&gt;G31,E31,IF(G31&gt;F31,D31,"Verlierer 29")))))))</f>
        <v>Reutter, Harald [20274]</v>
      </c>
      <c r="F38" s="167">
        <v>73</v>
      </c>
      <c r="G38" s="168">
        <v>75</v>
      </c>
      <c r="H38" s="168">
        <v>19</v>
      </c>
      <c r="I38" s="168">
        <v>19</v>
      </c>
      <c r="J38" s="168">
        <v>32</v>
      </c>
      <c r="K38" s="188">
        <v>18</v>
      </c>
      <c r="L38" s="194">
        <v>16</v>
      </c>
      <c r="M38" s="80" t="str">
        <f t="shared" si="30"/>
        <v>Voinescu, Florian [31589]</v>
      </c>
      <c r="N38" s="66">
        <f t="shared" si="9"/>
        <v>148</v>
      </c>
      <c r="O38" s="66">
        <f t="shared" si="10"/>
        <v>148</v>
      </c>
      <c r="P38" s="66">
        <f t="shared" si="11"/>
        <v>1</v>
      </c>
      <c r="Q38" s="66">
        <f t="shared" si="24"/>
        <v>1</v>
      </c>
      <c r="R38" s="66">
        <f t="shared" si="12"/>
        <v>0</v>
      </c>
      <c r="S38" s="66">
        <f t="shared" si="13"/>
        <v>1</v>
      </c>
      <c r="T38" s="127">
        <f t="shared" si="14"/>
        <v>0</v>
      </c>
      <c r="U38" s="127">
        <f t="shared" si="15"/>
        <v>3</v>
      </c>
      <c r="V38" s="106">
        <f>IF(Auslosung_Turnierdaten!F11="","",3)</f>
        <v>3</v>
      </c>
      <c r="W38" s="107" t="str">
        <f>IF(SP32!V38="","",Auslosung_Turnierdaten!F11)</f>
        <v>Schnürch, Martin [23070]</v>
      </c>
      <c r="X38" s="107" t="str">
        <f>IF(SP32!V38="","",Auslosung_Turnierdaten!G11)</f>
        <v>PBSC Donauwörth</v>
      </c>
      <c r="Y38" s="107">
        <f>IF(SP32!V38="","",Auslosung_Turnierdaten!H11)</f>
        <v>0</v>
      </c>
      <c r="Z38" s="107">
        <f>IF(SP32!V38="","",Auslosung_Turnierdaten!I11)</f>
        <v>0</v>
      </c>
      <c r="AA38" s="108">
        <f>IF(SP32!V38="","",SP32!X5)</f>
        <v>3</v>
      </c>
      <c r="AB38" s="108">
        <f>IF(SP32!V38="","",SP32!Z5)</f>
        <v>1</v>
      </c>
      <c r="AC38" s="108">
        <f>IF(SP32!V38="","",SP32!AA5)</f>
        <v>2</v>
      </c>
      <c r="AD38" s="108">
        <f>IF(SP32!V38="","",SP32!AC5)</f>
        <v>170</v>
      </c>
      <c r="AE38" s="108">
        <f>IF(SP32!V38="","",IF(AE35="VSp",SP32!AD5,SP32!AF5))</f>
        <v>39</v>
      </c>
      <c r="AF38" s="109">
        <f>IF(SP32!V38="","",IF(AF35="Quot",SP32!AE5,SP32!AG5))</f>
        <v>4.358974358974359</v>
      </c>
      <c r="AG38" s="109">
        <f>IF(AG35="BED",SP32!AH5,"")</f>
        <v>3.9473684210526314</v>
      </c>
      <c r="AH38" s="110">
        <f>IF(AH35="HS",SP32!AI5,"")</f>
        <v>28</v>
      </c>
      <c r="AL38" s="124"/>
      <c r="AM38" s="125"/>
      <c r="AN38" s="126"/>
      <c r="AO38" s="66">
        <f t="shared" si="21"/>
      </c>
      <c r="AQ38" s="66">
        <f t="shared" si="22"/>
      </c>
      <c r="AR38" s="179"/>
      <c r="AS38" s="179"/>
      <c r="AT38" s="180">
        <f t="shared" si="23"/>
      </c>
      <c r="AV38" s="66">
        <f>IF(AND(COUNTIF(L38:L38:L38:$L$62,L38)=1,F38+G38&gt;0),L38&amp;"-","")</f>
      </c>
    </row>
    <row r="39" spans="3:48" ht="10.5">
      <c r="C39" s="84">
        <v>37</v>
      </c>
      <c r="D39" s="87" t="str">
        <f>IF(D23="Verlierer 9","Sieger 21",IF(E23="Verlierer 10","Sieger 21",IF(D23=E23,"Freilos",IF(E23="Freilos",D23,IF(D23="Freilos",E23,IF(F23&gt;G23,D23,IF(G23&gt;F23,E23,"Sieger 21")))))))</f>
        <v>Fuchs, Reinhard [25179]</v>
      </c>
      <c r="E39" s="88" t="str">
        <f>IF(D30="Sieger 7","Verlierer 28",IF(E30="Sieger 8","Verlierer 28",IF(D30=E30,"Freilos",IF(D30="Freilos",D30,IF(E30="Freilos",E30,IF(F30&gt;G30,E30,IF(G30&gt;F30,D30,"Verlierer 28")))))))</f>
        <v>Braun, Dennis [39840]</v>
      </c>
      <c r="F39" s="167">
        <v>17</v>
      </c>
      <c r="G39" s="168">
        <v>75</v>
      </c>
      <c r="H39" s="168">
        <v>9</v>
      </c>
      <c r="I39" s="168">
        <v>9</v>
      </c>
      <c r="J39" s="168">
        <v>7</v>
      </c>
      <c r="K39" s="188">
        <v>33</v>
      </c>
      <c r="L39" s="194">
        <v>17</v>
      </c>
      <c r="M39" s="80" t="str">
        <f t="shared" si="30"/>
        <v>Fuchs, Reinhard [25179]</v>
      </c>
      <c r="N39" s="66">
        <f t="shared" si="9"/>
        <v>92</v>
      </c>
      <c r="O39" s="66">
        <f t="shared" si="10"/>
        <v>92</v>
      </c>
      <c r="P39" s="66">
        <f t="shared" si="11"/>
        <v>1</v>
      </c>
      <c r="Q39" s="66">
        <f t="shared" si="24"/>
        <v>1</v>
      </c>
      <c r="R39" s="66">
        <f t="shared" si="12"/>
        <v>0</v>
      </c>
      <c r="S39" s="66">
        <f t="shared" si="13"/>
        <v>1</v>
      </c>
      <c r="T39" s="127">
        <f t="shared" si="14"/>
        <v>0</v>
      </c>
      <c r="U39" s="127">
        <f t="shared" si="15"/>
        <v>3</v>
      </c>
      <c r="V39" s="106">
        <f>IF(Auslosung_Turnierdaten!F12="","",4)</f>
        <v>4</v>
      </c>
      <c r="W39" s="107" t="str">
        <f>IF(SP32!V39="","",Auslosung_Turnierdaten!F12)</f>
        <v>Sohal, Tony [37510]</v>
      </c>
      <c r="X39" s="107" t="str">
        <f>IF(SP32!V39="","",Auslosung_Turnierdaten!G12)</f>
        <v>Magic Break</v>
      </c>
      <c r="Y39" s="107">
        <f>IF(SP32!V39="","",Auslosung_Turnierdaten!H12)</f>
        <v>0</v>
      </c>
      <c r="Z39" s="107">
        <f>IF(SP32!V39="","",Auslosung_Turnierdaten!I12)</f>
        <v>0</v>
      </c>
      <c r="AA39" s="108">
        <f>IF(SP32!V39="","",SP32!X6)</f>
        <v>3</v>
      </c>
      <c r="AB39" s="108">
        <f>IF(SP32!V39="","",SP32!Z6)</f>
        <v>1</v>
      </c>
      <c r="AC39" s="108">
        <f>IF(SP32!V39="","",SP32!AA6)</f>
        <v>2</v>
      </c>
      <c r="AD39" s="108">
        <f>IF(SP32!V39="","",SP32!AC6)</f>
        <v>176</v>
      </c>
      <c r="AE39" s="108">
        <f>IF(SP32!V39="","",IF(AE35="VSp",SP32!AD6,SP32!AF6))</f>
        <v>73</v>
      </c>
      <c r="AF39" s="109">
        <f>IF(SP32!V39="","",IF(AF35="Quot",SP32!AE6,SP32!AG6))</f>
        <v>2.410958904109589</v>
      </c>
      <c r="AG39" s="109">
        <f>IF(AG35="BED",SP32!AH6,"")</f>
        <v>2.34375</v>
      </c>
      <c r="AH39" s="110">
        <f>IF(AH35="HS",SP32!AI6,"")</f>
        <v>11</v>
      </c>
      <c r="AL39" s="124"/>
      <c r="AM39" s="125"/>
      <c r="AN39" s="126"/>
      <c r="AO39" s="66">
        <f t="shared" si="21"/>
      </c>
      <c r="AQ39" s="66">
        <f t="shared" si="22"/>
      </c>
      <c r="AR39" s="179"/>
      <c r="AS39" s="179"/>
      <c r="AT39" s="180">
        <f t="shared" si="23"/>
      </c>
      <c r="AV39" s="66">
        <f>IF(AND(COUNTIF(L39:L39:L39:$L$62,L39)=1,F39+G39&gt;0),L39&amp;"-","")</f>
      </c>
    </row>
    <row r="40" spans="3:48" ht="10.5">
      <c r="C40" s="84">
        <v>38</v>
      </c>
      <c r="D40" s="87" t="str">
        <f>IF(D24="Verlierer 11","Sieger 22",IF(E24="Verlierer 12","Sieger 22",IF(D24=E24,"Freilos",IF(E24="Freilos",D24,IF(D24="Freilos",E24,IF(F24&gt;G24,D24,IF(G24&gt;F24,E24,"Sieger 22")))))))</f>
        <v>Schröter, Matthias [35127]</v>
      </c>
      <c r="E40" s="88" t="str">
        <f>IF(D29="Sieger 5","Verlierer 27",IF(E29="Sieger 6","Verlierer 27",IF(D20=E29,"Freilos",IF(D29="Freilos",D29,IF(E29="Freilos",E29,IF(F29&gt;G29,E29,IF(G29&gt;F29,D29,"Verlierer 27")))))))</f>
        <v>Schnürch, Martin [23070]</v>
      </c>
      <c r="F40" s="167">
        <v>75</v>
      </c>
      <c r="G40" s="168">
        <v>32</v>
      </c>
      <c r="H40" s="168">
        <v>14</v>
      </c>
      <c r="I40" s="168">
        <v>14</v>
      </c>
      <c r="J40" s="168">
        <v>23</v>
      </c>
      <c r="K40" s="188">
        <v>14</v>
      </c>
      <c r="L40" s="194">
        <v>18</v>
      </c>
      <c r="M40" s="80" t="str">
        <f t="shared" si="30"/>
        <v>Schnürch, Martin [23070]</v>
      </c>
      <c r="N40" s="66">
        <f t="shared" si="9"/>
        <v>107</v>
      </c>
      <c r="O40" s="66">
        <f t="shared" si="10"/>
        <v>107</v>
      </c>
      <c r="P40" s="66">
        <f t="shared" si="11"/>
        <v>1</v>
      </c>
      <c r="Q40" s="66">
        <f t="shared" si="24"/>
        <v>1</v>
      </c>
      <c r="R40" s="66">
        <f t="shared" si="12"/>
        <v>1</v>
      </c>
      <c r="S40" s="66">
        <f t="shared" si="13"/>
        <v>0</v>
      </c>
      <c r="T40" s="127">
        <f t="shared" si="14"/>
        <v>3</v>
      </c>
      <c r="U40" s="127">
        <f t="shared" si="15"/>
        <v>0</v>
      </c>
      <c r="V40" s="106">
        <f>IF(Auslosung_Turnierdaten!F13="","",5)</f>
        <v>5</v>
      </c>
      <c r="W40" s="107" t="str">
        <f>IF(SP32!V40="","",Auslosung_Turnierdaten!F13)</f>
        <v>Meister, Martin [19054]</v>
      </c>
      <c r="X40" s="107" t="str">
        <f>IF(SP32!V40="","",Auslosung_Turnierdaten!G13)</f>
        <v>BC Haunstetten</v>
      </c>
      <c r="Y40" s="107">
        <f>IF(SP32!V40="","",Auslosung_Turnierdaten!H13)</f>
        <v>0</v>
      </c>
      <c r="Z40" s="107">
        <f>IF(SP32!V40="","",Auslosung_Turnierdaten!I13)</f>
        <v>0</v>
      </c>
      <c r="AA40" s="108">
        <f>IF(SP32!V40="","",SP32!X7)</f>
        <v>6</v>
      </c>
      <c r="AB40" s="108">
        <f>IF(SP32!V40="","",SP32!Z7)</f>
        <v>2</v>
      </c>
      <c r="AC40" s="108">
        <f>IF(SP32!V40="","",SP32!AA7)</f>
        <v>2</v>
      </c>
      <c r="AD40" s="108">
        <f>IF(SP32!V40="","",SP32!AC7)</f>
        <v>188</v>
      </c>
      <c r="AE40" s="108">
        <f>IF(SP32!V40="","",IF(AE35="VSp",SP32!AD7,SP32!AF7))</f>
        <v>44</v>
      </c>
      <c r="AF40" s="109">
        <f>IF(SP32!V40="","",IF(AF35="Quot",SP32!AE7,SP32!AG7))</f>
        <v>4.2727272727272725</v>
      </c>
      <c r="AG40" s="109">
        <f>IF(AG35="BED",SP32!AH7,"")</f>
        <v>6.818181818181818</v>
      </c>
      <c r="AH40" s="110">
        <f>IF(AH35="HS",SP32!AI7,"")</f>
        <v>34</v>
      </c>
      <c r="AL40" s="124"/>
      <c r="AM40" s="125"/>
      <c r="AN40" s="126"/>
      <c r="AO40" s="66">
        <f t="shared" si="21"/>
      </c>
      <c r="AQ40" s="66">
        <f t="shared" si="22"/>
      </c>
      <c r="AR40" s="179"/>
      <c r="AS40" s="179"/>
      <c r="AT40" s="180">
        <f t="shared" si="23"/>
      </c>
      <c r="AV40" s="66">
        <f>IF(AND(COUNTIF(L40:L40:L40:$L$62,L40)=1,F40+G40&gt;0),L40&amp;"-","")</f>
      </c>
    </row>
    <row r="41" spans="3:48" ht="10.5">
      <c r="C41" s="84">
        <v>39</v>
      </c>
      <c r="D41" s="87" t="str">
        <f>IF(D25="Verlierer 13","Sieger 23",IF(E25="Verlierer 14","Sieger 23",IF(D25=E25,"Freilos",IF(E25="Freilos",D25,IF(D25="Freilos",E25,IF(F25&gt;G25,D25,IF(G25&gt;F25,E25,"Sieger 23")))))))</f>
        <v>Bachl, Norbert [16304]</v>
      </c>
      <c r="E41" s="88" t="str">
        <f>IF(D28="Sieger 3","Verlierer 26",IF(E28="Sieger 4","Verlierer 26",IF(D28=E28,"Freilos",IF(D28="Freilos",D28,IF(E28="Freilos",E28,IF(F28&gt;G28,E28,IF(G28&gt;F28,D28,"Verlierer 26")))))))</f>
        <v>Schmid, Andreas [18352]</v>
      </c>
      <c r="F41" s="167">
        <v>28</v>
      </c>
      <c r="G41" s="168">
        <v>75</v>
      </c>
      <c r="H41" s="168">
        <v>19</v>
      </c>
      <c r="I41" s="168">
        <v>20</v>
      </c>
      <c r="J41" s="168">
        <v>7</v>
      </c>
      <c r="K41" s="188">
        <v>15</v>
      </c>
      <c r="L41" s="194">
        <v>18</v>
      </c>
      <c r="M41" s="80" t="str">
        <f t="shared" si="30"/>
        <v>Bachl, Norbert [16304]</v>
      </c>
      <c r="N41" s="66">
        <f t="shared" si="9"/>
        <v>103</v>
      </c>
      <c r="O41" s="66">
        <f t="shared" si="10"/>
        <v>103</v>
      </c>
      <c r="P41" s="66">
        <f t="shared" si="11"/>
        <v>1</v>
      </c>
      <c r="Q41" s="66">
        <f t="shared" si="24"/>
        <v>1</v>
      </c>
      <c r="R41" s="66">
        <f t="shared" si="12"/>
        <v>0</v>
      </c>
      <c r="S41" s="66">
        <f t="shared" si="13"/>
        <v>1</v>
      </c>
      <c r="T41" s="127">
        <f t="shared" si="14"/>
        <v>0</v>
      </c>
      <c r="U41" s="127">
        <f t="shared" si="15"/>
        <v>3</v>
      </c>
      <c r="V41" s="106">
        <f>IF(Auslosung_Turnierdaten!F14="","",6)</f>
        <v>6</v>
      </c>
      <c r="W41" s="107" t="str">
        <f>IF(SP32!V41="","",Auslosung_Turnierdaten!F14)</f>
        <v>Scholz, Jürgen [35124]</v>
      </c>
      <c r="X41" s="107" t="str">
        <f>IF(SP32!V41="","",Auslosung_Turnierdaten!G14)</f>
        <v>Magic Break</v>
      </c>
      <c r="Y41" s="107">
        <f>IF(SP32!V41="","",Auslosung_Turnierdaten!H14)</f>
        <v>0</v>
      </c>
      <c r="Z41" s="107">
        <f>IF(SP32!V41="","",Auslosung_Turnierdaten!I14)</f>
        <v>0</v>
      </c>
      <c r="AA41" s="108">
        <f>IF(SP32!V41="","",SP32!X8)</f>
        <v>12</v>
      </c>
      <c r="AB41" s="108">
        <f>IF(SP32!V41="","",SP32!Z8)</f>
        <v>3</v>
      </c>
      <c r="AC41" s="108">
        <f>IF(SP32!V41="","",SP32!AA8)</f>
        <v>1</v>
      </c>
      <c r="AD41" s="108">
        <f>IF(SP32!V41="","",SP32!AC8)</f>
        <v>254</v>
      </c>
      <c r="AE41" s="108">
        <f>IF(SP32!V41="","",IF(AE35="VSp",SP32!AD8,SP32!AF8))</f>
        <v>74</v>
      </c>
      <c r="AF41" s="109">
        <f>IF(SP32!V41="","",IF(AF35="Quot",SP32!AE8,SP32!AG8))</f>
        <v>3.4324324324324325</v>
      </c>
      <c r="AG41" s="109">
        <f>IF(AG35="BED",SP32!AH8,"")</f>
        <v>4.411764705882353</v>
      </c>
      <c r="AH41" s="110">
        <f>IF(AH35="HS",SP32!AI8,"")</f>
        <v>27</v>
      </c>
      <c r="AL41" s="124"/>
      <c r="AM41" s="125"/>
      <c r="AN41" s="126"/>
      <c r="AO41" s="66">
        <f t="shared" si="21"/>
      </c>
      <c r="AQ41" s="66">
        <f t="shared" si="22"/>
      </c>
      <c r="AR41" s="179"/>
      <c r="AS41" s="179"/>
      <c r="AT41" s="180">
        <f t="shared" si="23"/>
      </c>
      <c r="AV41" s="66" t="str">
        <f>IF(AND(COUNTIF(L41:L41:L41:$L$62,L41)=1,F41+G41&gt;0),L41&amp;"-","")</f>
        <v>18-</v>
      </c>
    </row>
    <row r="42" spans="3:48" ht="11.25" thickBot="1">
      <c r="C42" s="84">
        <v>40</v>
      </c>
      <c r="D42" s="89" t="str">
        <f>IF(D26="Verlierer 15","Sieger 24",IF(E26="Verlierer 16","Sieger 24",IF(D26=E26,"Freilos",IF(E26="Freilos",D26,IF(D26="Freilos",E26,IF(F26&gt;G26,D26,IF(G26&gt;F26,E26,"Sieger 24")))))))</f>
        <v>Kabelin, Sven [24986]</v>
      </c>
      <c r="E42" s="90" t="str">
        <f>IF(D27="Sieger 1","Verlierer 25",IF(E27="Sieger 2","Verlierer 25",IF(D27=E27,"Freilos",IF(D27="Freilos",D27,IF(E27="Freilos",E27,IF(F27&gt;G27,E27,IF(G27&gt;F27,D27,"Verlierer 25")))))))</f>
        <v>Kuloyants, Valery [34790]</v>
      </c>
      <c r="F42" s="169">
        <v>70</v>
      </c>
      <c r="G42" s="170">
        <v>75</v>
      </c>
      <c r="H42" s="170">
        <v>17</v>
      </c>
      <c r="I42" s="170">
        <v>17</v>
      </c>
      <c r="J42" s="170">
        <v>18</v>
      </c>
      <c r="K42" s="189">
        <v>25</v>
      </c>
      <c r="L42" s="198">
        <v>13</v>
      </c>
      <c r="M42" s="80" t="str">
        <f t="shared" si="30"/>
        <v>Kabelin, Sven [24986]</v>
      </c>
      <c r="N42" s="66">
        <f t="shared" si="9"/>
        <v>145</v>
      </c>
      <c r="O42" s="66">
        <f t="shared" si="10"/>
        <v>145</v>
      </c>
      <c r="P42" s="66">
        <f t="shared" si="11"/>
        <v>1</v>
      </c>
      <c r="Q42" s="66">
        <f t="shared" si="24"/>
        <v>1</v>
      </c>
      <c r="R42" s="66">
        <f t="shared" si="12"/>
        <v>0</v>
      </c>
      <c r="S42" s="66">
        <f t="shared" si="13"/>
        <v>1</v>
      </c>
      <c r="T42" s="127">
        <f t="shared" si="14"/>
        <v>0</v>
      </c>
      <c r="U42" s="127">
        <f t="shared" si="15"/>
        <v>3</v>
      </c>
      <c r="V42" s="106">
        <f>IF(Auslosung_Turnierdaten!F15="","",7)</f>
        <v>7</v>
      </c>
      <c r="W42" s="107" t="str">
        <f>IF(SP32!V42="","",Auslosung_Turnierdaten!F15)</f>
        <v>Voinescu, Florian [31589]</v>
      </c>
      <c r="X42" s="107" t="str">
        <f>IF(SP32!V42="","",Auslosung_Turnierdaten!G15)</f>
        <v>BC Haunstetten</v>
      </c>
      <c r="Y42" s="107">
        <f>IF(SP32!V42="","",Auslosung_Turnierdaten!H15)</f>
        <v>0</v>
      </c>
      <c r="Z42" s="107">
        <f>IF(SP32!V42="","",Auslosung_Turnierdaten!I15)</f>
        <v>0</v>
      </c>
      <c r="AA42" s="108">
        <f>IF(SP32!V42="","",SP32!X9)</f>
        <v>3</v>
      </c>
      <c r="AB42" s="108">
        <f>IF(SP32!V42="","",SP32!Z9)</f>
        <v>1</v>
      </c>
      <c r="AC42" s="108">
        <f>IF(SP32!V42="","",SP32!AA9)</f>
        <v>2</v>
      </c>
      <c r="AD42" s="108">
        <f>IF(SP32!V42="","",SP32!AC9)</f>
        <v>148</v>
      </c>
      <c r="AE42" s="108">
        <f>IF(SP32!V42="","",IF(AE35="VSp",SP32!AD9,SP32!AF9))</f>
        <v>33</v>
      </c>
      <c r="AF42" s="109">
        <f>IF(SP32!V42="","",IF(AF35="Quot",SP32!AE9,SP32!AG9))</f>
        <v>4.484848484848484</v>
      </c>
      <c r="AG42" s="109">
        <f>IF(AG35="BED",SP32!AH9,"")</f>
        <v>5.357142857142857</v>
      </c>
      <c r="AH42" s="110">
        <f>IF(AH35="HS",SP32!AI9,"")</f>
        <v>32</v>
      </c>
      <c r="AL42" s="124"/>
      <c r="AM42" s="125"/>
      <c r="AN42" s="126"/>
      <c r="AO42" s="66">
        <f t="shared" si="21"/>
      </c>
      <c r="AQ42" s="66">
        <f t="shared" si="22"/>
      </c>
      <c r="AR42" s="179"/>
      <c r="AS42" s="179"/>
      <c r="AT42" s="180">
        <f t="shared" si="23"/>
      </c>
      <c r="AV42" s="66" t="str">
        <f>IF(AND(COUNTIF(L42:L42:L42:$L$62,L42)=1,F42+G42&gt;0),L42&amp;"-","")</f>
        <v>13-</v>
      </c>
    </row>
    <row r="43" spans="2:48" ht="11.25" thickBot="1">
      <c r="B43" s="83" t="s">
        <v>42</v>
      </c>
      <c r="C43" s="84">
        <v>41</v>
      </c>
      <c r="D43" s="85" t="str">
        <f>IF(D35="Sieger 17","Sieger 33",IF(E35="Verlierer 32","Sieger 33",IF(D35=E35,"Freilos",IF(E35="Freilos",D35,IF(D35="Freilos",E35,IF(F35&gt;G35,D35,IF(G35&gt;F35,E35,"Sieger 33")))))))</f>
        <v>Gruber, Stefan [30145]</v>
      </c>
      <c r="E43" s="86" t="str">
        <f>IF(D36="Sieger 18","Sieger 34",IF(E36="Verlierer 31","Sieger 34",IF(D36=E36,"Freilos",IF(E36="Freilos",D36,IF(D36="Freilos",E36,IF(F36&gt;G36,D36,IF(G36&gt;F36,E36,"Sieger 34")))))))</f>
        <v>Meister, Martin [19054]</v>
      </c>
      <c r="F43" s="165">
        <v>75</v>
      </c>
      <c r="G43" s="166">
        <v>38</v>
      </c>
      <c r="H43" s="166">
        <v>11</v>
      </c>
      <c r="I43" s="166">
        <v>11</v>
      </c>
      <c r="J43" s="166">
        <v>29</v>
      </c>
      <c r="K43" s="187">
        <v>26</v>
      </c>
      <c r="L43" s="158">
        <v>20</v>
      </c>
      <c r="M43" s="80" t="str">
        <f>IF(F43&gt;G43,E43,IF(G43&gt;F43,D43,""))</f>
        <v>Meister, Martin [19054]</v>
      </c>
      <c r="N43" s="66">
        <f aca="true" t="shared" si="31" ref="N43:N54">F43+G43</f>
        <v>113</v>
      </c>
      <c r="O43" s="66">
        <f t="shared" si="10"/>
        <v>113</v>
      </c>
      <c r="P43" s="66">
        <f aca="true" t="shared" si="32" ref="P43:P54">IF(D43="Freilos",0,IF(F43&lt;G43,1,IF(F43&gt;G43,1,0)))</f>
        <v>1</v>
      </c>
      <c r="Q43" s="66">
        <f aca="true" t="shared" si="33" ref="Q43:Q54">IF(D43="Freilos",0,IF(F43&lt;G43,1,IF(F43&gt;G43,1,0)))</f>
        <v>1</v>
      </c>
      <c r="R43" s="66">
        <f aca="true" t="shared" si="34" ref="R43:R54">IF(D43="Freilos",0,IF(F43&gt;G43,1,0))</f>
        <v>1</v>
      </c>
      <c r="S43" s="66">
        <f aca="true" t="shared" si="35" ref="S43:S54">IF(D43="Freilos",0,IF(G43&gt;F43,1,0))</f>
        <v>0</v>
      </c>
      <c r="T43" s="127">
        <f t="shared" si="14"/>
        <v>3</v>
      </c>
      <c r="U43" s="127">
        <f t="shared" si="15"/>
        <v>0</v>
      </c>
      <c r="V43" s="106">
        <f>IF(Auslosung_Turnierdaten!F16="","",8)</f>
        <v>8</v>
      </c>
      <c r="W43" s="107" t="str">
        <f>IF(SP32!V43="","",Auslosung_Turnierdaten!F16)</f>
        <v>Au-Yeung, Michael [24627]</v>
      </c>
      <c r="X43" s="107" t="str">
        <f>IF(SP32!V43="","",Auslosung_Turnierdaten!G16)</f>
        <v>PBC München-West</v>
      </c>
      <c r="Y43" s="107">
        <f>IF(SP32!V43="","",Auslosung_Turnierdaten!H16)</f>
        <v>0</v>
      </c>
      <c r="Z43" s="107">
        <f>IF(SP32!V43="","",Auslosung_Turnierdaten!I16)</f>
        <v>0</v>
      </c>
      <c r="AA43" s="108">
        <f>IF(SP32!V43="","",SP32!X10)</f>
        <v>15</v>
      </c>
      <c r="AB43" s="108">
        <f>IF(SP32!V43="","",SP32!Z10)</f>
        <v>4</v>
      </c>
      <c r="AC43" s="108">
        <f>IF(SP32!V43="","",SP32!AA10)</f>
        <v>2</v>
      </c>
      <c r="AD43" s="108">
        <f>IF(SP32!V43="","",SP32!AC10)</f>
        <v>378</v>
      </c>
      <c r="AE43" s="108">
        <f>IF(SP32!V43="","",IF(AE35="VSp",SP32!AD10,SP32!AF10))</f>
        <v>44</v>
      </c>
      <c r="AF43" s="109">
        <f>IF(SP32!V43="","",IF(AF35="Quot",SP32!AE10,SP32!AG10))</f>
        <v>8.590909090909092</v>
      </c>
      <c r="AG43" s="109">
        <f>IF(AG35="BED",SP32!AH10,"")</f>
        <v>12.5</v>
      </c>
      <c r="AH43" s="110">
        <f>IF(AH35="HS",SP32!AI10,"")</f>
        <v>33</v>
      </c>
      <c r="AL43" s="124"/>
      <c r="AM43" s="125"/>
      <c r="AN43" s="126"/>
      <c r="AO43" s="66">
        <f t="shared" si="21"/>
      </c>
      <c r="AQ43" s="66">
        <f t="shared" si="22"/>
      </c>
      <c r="AR43" s="179"/>
      <c r="AS43" s="179"/>
      <c r="AT43" s="180">
        <f t="shared" si="23"/>
      </c>
      <c r="AV43" s="66">
        <f>IF(AND(COUNTIF(L43:L43:L43:$L$62,L43)=1,F43+G43&gt;0),L43&amp;"-","")</f>
      </c>
    </row>
    <row r="44" spans="3:48" ht="10.5">
      <c r="C44" s="84">
        <v>42</v>
      </c>
      <c r="D44" s="87" t="str">
        <f>IF(D37="Sieger 19","Sieger 35",IF(E37="Verlierer 30","Sieger 35",IF(D37=E37,"Freilos",IF(E37="Freilos",D37,IF(D37="Freilos",E37,IF(F37&gt;G37,D37,IF(G37&gt;F37,E37,"Sieger 35")))))))</f>
        <v>Heimmerer, Benjamin [34073]</v>
      </c>
      <c r="E44" s="88" t="str">
        <f>IF(D38="Sieger 20","Sieger 36",IF(E38="Verlierer 29","Sieger 36",IF(D38=E38,"Freilos",IF(E38="Freilos",D38,IF(D38="Freilos",E38,IF(F38&gt;G38,D38,IF(G38&gt;F38,E38,"Sieger 36")))))))</f>
        <v>Reutter, Harald [20274]</v>
      </c>
      <c r="F44" s="167">
        <v>75</v>
      </c>
      <c r="G44" s="168">
        <v>51</v>
      </c>
      <c r="H44" s="168">
        <v>9</v>
      </c>
      <c r="I44" s="168">
        <v>9</v>
      </c>
      <c r="J44" s="168">
        <v>30</v>
      </c>
      <c r="K44" s="188">
        <v>25</v>
      </c>
      <c r="L44" s="161">
        <v>16</v>
      </c>
      <c r="M44" s="80" t="str">
        <f>IF(F44&gt;G44,E44,IF(G44&gt;F44,D44,""))</f>
        <v>Reutter, Harald [20274]</v>
      </c>
      <c r="N44" s="66">
        <f t="shared" si="31"/>
        <v>126</v>
      </c>
      <c r="O44" s="66">
        <f t="shared" si="10"/>
        <v>126</v>
      </c>
      <c r="P44" s="66">
        <f t="shared" si="32"/>
        <v>1</v>
      </c>
      <c r="Q44" s="66">
        <f t="shared" si="33"/>
        <v>1</v>
      </c>
      <c r="R44" s="66">
        <f t="shared" si="34"/>
        <v>1</v>
      </c>
      <c r="S44" s="66">
        <f t="shared" si="35"/>
        <v>0</v>
      </c>
      <c r="T44" s="127">
        <f t="shared" si="14"/>
        <v>3</v>
      </c>
      <c r="U44" s="127">
        <f t="shared" si="15"/>
        <v>0</v>
      </c>
      <c r="V44" s="106">
        <f>IF(Auslosung_Turnierdaten!F17="","",9)</f>
        <v>9</v>
      </c>
      <c r="W44" s="107" t="str">
        <f>IF(SP32!V44="","",Auslosung_Turnierdaten!F17)</f>
        <v>Obermeier, Andreas [29213]</v>
      </c>
      <c r="X44" s="107" t="str">
        <f>IF(SP32!V44="","",Auslosung_Turnierdaten!G17)</f>
        <v>BSV PB München</v>
      </c>
      <c r="Y44" s="107">
        <f>IF(SP32!V44="","",Auslosung_Turnierdaten!H17)</f>
        <v>0</v>
      </c>
      <c r="Z44" s="107">
        <f>IF(SP32!V44="","",Auslosung_Turnierdaten!I17)</f>
        <v>0</v>
      </c>
      <c r="AA44" s="108">
        <f>IF(SP32!V44="","",SP32!X11)</f>
        <v>12</v>
      </c>
      <c r="AB44" s="108">
        <f>IF(SP32!V44="","",SP32!Z11)</f>
        <v>3</v>
      </c>
      <c r="AC44" s="108">
        <f>IF(SP32!V44="","",SP32!AA11)</f>
        <v>1</v>
      </c>
      <c r="AD44" s="108">
        <f>IF(SP32!V44="","",SP32!AC11)</f>
        <v>240</v>
      </c>
      <c r="AE44" s="108">
        <f>IF(SP32!V44="","",IF(AE35="VSp",SP32!AD11,SP32!AF11))</f>
        <v>42</v>
      </c>
      <c r="AF44" s="109">
        <f>IF(SP32!V44="","",IF(AF35="Quot",SP32!AE11,SP32!AG11))</f>
        <v>5.714285714285714</v>
      </c>
      <c r="AG44" s="109">
        <f>IF(AG35="BED",SP32!AH11,"")</f>
        <v>10.714285714285714</v>
      </c>
      <c r="AH44" s="110">
        <f>IF(AH35="HS",SP32!AI11,"")</f>
        <v>45</v>
      </c>
      <c r="AL44" s="124"/>
      <c r="AM44" s="125"/>
      <c r="AN44" s="126"/>
      <c r="AO44" s="66">
        <f t="shared" si="21"/>
      </c>
      <c r="AQ44" s="66">
        <f t="shared" si="22"/>
      </c>
      <c r="AR44" s="179"/>
      <c r="AS44" s="179"/>
      <c r="AT44" s="180">
        <f t="shared" si="23"/>
      </c>
      <c r="AV44" s="66">
        <f>IF(AND(COUNTIF(L44:L44:L44:$L$62,L44)=1,F44+G44&gt;0),L44&amp;"-","")</f>
      </c>
    </row>
    <row r="45" spans="3:48" ht="10.5">
      <c r="C45" s="84">
        <v>43</v>
      </c>
      <c r="D45" s="87" t="str">
        <f>IF(D39="Sieger 21","Sieger 37",IF(E39="Verlierer 28","Sieger 37",IF(D39=E39,"Freilos",IF(E39="Freilos",D39,IF(D39="Freilos",E39,IF(F39&gt;G39,D39,IF(G39&gt;F39,E39,"Sieger 37")))))))</f>
        <v>Braun, Dennis [39840]</v>
      </c>
      <c r="E45" s="88" t="str">
        <f>IF(D40="Sieger 22","Sieger 38",IF(E40="Verlierer 27","Sieger 38",IF(D40=E40,"Freilos",IF(E40="Freilos",D40,IF(D40="Freilos",E40,IF(F40&gt;G40,D40,IF(G40&gt;F40,E40,"Sieger 38")))))))</f>
        <v>Schröter, Matthias [35127]</v>
      </c>
      <c r="F45" s="167">
        <v>75</v>
      </c>
      <c r="G45" s="168">
        <v>20</v>
      </c>
      <c r="H45" s="168">
        <v>11</v>
      </c>
      <c r="I45" s="168">
        <v>11</v>
      </c>
      <c r="J45" s="168">
        <v>43</v>
      </c>
      <c r="K45" s="188">
        <v>7</v>
      </c>
      <c r="L45" s="161">
        <v>19</v>
      </c>
      <c r="M45" s="80" t="str">
        <f>IF(F45&gt;G45,E45,IF(G45&gt;F45,D45,""))</f>
        <v>Schröter, Matthias [35127]</v>
      </c>
      <c r="N45" s="66">
        <f t="shared" si="31"/>
        <v>95</v>
      </c>
      <c r="O45" s="66">
        <f t="shared" si="10"/>
        <v>95</v>
      </c>
      <c r="P45" s="66">
        <f t="shared" si="32"/>
        <v>1</v>
      </c>
      <c r="Q45" s="66">
        <f t="shared" si="33"/>
        <v>1</v>
      </c>
      <c r="R45" s="66">
        <f t="shared" si="34"/>
        <v>1</v>
      </c>
      <c r="S45" s="66">
        <f t="shared" si="35"/>
        <v>0</v>
      </c>
      <c r="T45" s="127">
        <f t="shared" si="14"/>
        <v>3</v>
      </c>
      <c r="U45" s="127">
        <f t="shared" si="15"/>
        <v>0</v>
      </c>
      <c r="V45" s="106">
        <f>IF(Auslosung_Turnierdaten!F18="","",10)</f>
        <v>10</v>
      </c>
      <c r="W45" s="107" t="str">
        <f>IF(SP32!V45="","",Auslosung_Turnierdaten!F18)</f>
        <v>Fuchs, Reinhard [25179]</v>
      </c>
      <c r="X45" s="107" t="str">
        <f>IF(SP32!V45="","",Auslosung_Turnierdaten!G18)</f>
        <v>BC H18 München</v>
      </c>
      <c r="Y45" s="107">
        <f>IF(SP32!V45="","",Auslosung_Turnierdaten!H18)</f>
        <v>0</v>
      </c>
      <c r="Z45" s="107">
        <f>IF(SP32!V45="","",Auslosung_Turnierdaten!I18)</f>
        <v>0</v>
      </c>
      <c r="AA45" s="108">
        <f>IF(SP32!V45="","",SP32!X12)</f>
        <v>3</v>
      </c>
      <c r="AB45" s="108">
        <f>IF(SP32!V45="","",SP32!Z12)</f>
        <v>1</v>
      </c>
      <c r="AC45" s="108">
        <f>IF(SP32!V45="","",SP32!AA12)</f>
        <v>2</v>
      </c>
      <c r="AD45" s="108">
        <f>IF(SP32!V45="","",SP32!AC12)</f>
        <v>161</v>
      </c>
      <c r="AE45" s="108">
        <f>IF(SP32!V45="","",IF(AE35="VSp",SP32!AD12,SP32!AF12))</f>
        <v>70</v>
      </c>
      <c r="AF45" s="109">
        <f>IF(SP32!V45="","",IF(AF35="Quot",SP32!AE12,SP32!AG12))</f>
        <v>2.3</v>
      </c>
      <c r="AG45" s="109">
        <f>IF(AG35="BED",SP32!AH12,"")</f>
        <v>2.6785714285714284</v>
      </c>
      <c r="AH45" s="110">
        <f>IF(AH35="HS",SP32!AI12,"")</f>
        <v>19</v>
      </c>
      <c r="AL45" s="124"/>
      <c r="AM45" s="125"/>
      <c r="AN45" s="126"/>
      <c r="AO45" s="66">
        <f t="shared" si="21"/>
      </c>
      <c r="AQ45" s="66">
        <f t="shared" si="22"/>
      </c>
      <c r="AR45" s="179"/>
      <c r="AS45" s="179"/>
      <c r="AT45" s="180">
        <f t="shared" si="23"/>
      </c>
      <c r="AV45" s="66">
        <f>IF(AND(COUNTIF(L45:L45:L45:$L$62,L45)=1,F45+G45&gt;0),L45&amp;"-","")</f>
      </c>
    </row>
    <row r="46" spans="3:48" ht="11.25" thickBot="1">
      <c r="C46" s="84">
        <v>44</v>
      </c>
      <c r="D46" s="89" t="str">
        <f>IF(D41="Sieger 23","Sieger 39",IF(E41="Verlierer 26","Sieger 39",IF(D41=E41,"Freilos",IF(E41="Freilos",D41,IF(D41="Freilos",E41,IF(F41&gt;G41,D41,IF(G41&gt;F41,E41,"Sieger 39")))))))</f>
        <v>Schmid, Andreas [18352]</v>
      </c>
      <c r="E46" s="90" t="str">
        <f>IF(D42="Sieger 24","Sieger 40",IF(E42="Verlierer 25","Sieger 40",IF(D42=E42,"Freilos",IF(E42="Freilos",D42,IF(D42="Freilos",E42,IF(F42&gt;G42,D42,IF(G42&gt;F42,E42,"Sieger 40")))))))</f>
        <v>Kuloyants, Valery [34790]</v>
      </c>
      <c r="F46" s="169">
        <v>-2</v>
      </c>
      <c r="G46" s="170">
        <v>75</v>
      </c>
      <c r="H46" s="170">
        <v>3</v>
      </c>
      <c r="I46" s="170">
        <v>3</v>
      </c>
      <c r="J46" s="170">
        <v>-2</v>
      </c>
      <c r="K46" s="189">
        <v>32</v>
      </c>
      <c r="L46" s="164">
        <v>16</v>
      </c>
      <c r="M46" s="80" t="str">
        <f>IF(F46&gt;G46,E46,IF(G46&gt;F46,D46,""))</f>
        <v>Schmid, Andreas [18352]</v>
      </c>
      <c r="N46" s="66">
        <f t="shared" si="31"/>
        <v>73</v>
      </c>
      <c r="O46" s="66">
        <f t="shared" si="10"/>
        <v>73</v>
      </c>
      <c r="P46" s="66">
        <f t="shared" si="32"/>
        <v>1</v>
      </c>
      <c r="Q46" s="66">
        <f t="shared" si="33"/>
        <v>1</v>
      </c>
      <c r="R46" s="66">
        <f t="shared" si="34"/>
        <v>0</v>
      </c>
      <c r="S46" s="66">
        <f t="shared" si="35"/>
        <v>1</v>
      </c>
      <c r="T46" s="127">
        <f t="shared" si="14"/>
        <v>0</v>
      </c>
      <c r="U46" s="127">
        <f t="shared" si="15"/>
        <v>3</v>
      </c>
      <c r="V46" s="106">
        <f>IF(Auslosung_Turnierdaten!F19="","",11)</f>
        <v>11</v>
      </c>
      <c r="W46" s="107" t="str">
        <f>IF(SP32!V46="","",Auslosung_Turnierdaten!F19)</f>
        <v>Heimmerer, Benjamin [34073]</v>
      </c>
      <c r="X46" s="107" t="str">
        <f>IF(SP32!V46="","",Auslosung_Turnierdaten!G19)</f>
        <v>PBC München-West</v>
      </c>
      <c r="Y46" s="107">
        <f>IF(SP32!V46="","",Auslosung_Turnierdaten!H19)</f>
        <v>0</v>
      </c>
      <c r="Z46" s="107">
        <f>IF(SP32!V46="","",Auslosung_Turnierdaten!I19)</f>
        <v>0</v>
      </c>
      <c r="AA46" s="108">
        <f>IF(SP32!V46="","",SP32!X13)</f>
        <v>21</v>
      </c>
      <c r="AB46" s="108">
        <f>IF(SP32!V46="","",SP32!Z13)</f>
        <v>7</v>
      </c>
      <c r="AC46" s="108">
        <f>IF(SP32!V46="","",SP32!AA13)</f>
        <v>1</v>
      </c>
      <c r="AD46" s="108">
        <f>IF(SP32!V46="","",SP32!AC13)</f>
        <v>545</v>
      </c>
      <c r="AE46" s="108">
        <f>IF(SP32!V46="","",IF(AE35="VSp",SP32!AD13,SP32!AF13))</f>
        <v>70</v>
      </c>
      <c r="AF46" s="109">
        <f>IF(SP32!V46="","",IF(AF35="Quot",SP32!AE13,SP32!AG13))</f>
        <v>7.785714285714286</v>
      </c>
      <c r="AG46" s="109">
        <f>IF(AG35="BED",SP32!AH13,"")</f>
        <v>18.75</v>
      </c>
      <c r="AH46" s="110">
        <f>IF(AH35="HS",SP32!AI13,"")</f>
        <v>70</v>
      </c>
      <c r="AL46" s="124"/>
      <c r="AM46" s="125"/>
      <c r="AN46" s="126"/>
      <c r="AO46" s="66">
        <f t="shared" si="21"/>
      </c>
      <c r="AQ46" s="66">
        <f t="shared" si="22"/>
      </c>
      <c r="AR46" s="179"/>
      <c r="AS46" s="179"/>
      <c r="AT46" s="180">
        <f t="shared" si="23"/>
      </c>
      <c r="AV46" s="66">
        <f>IF(AND(COUNTIF(L46:L46:L46:$L$62,L46)=1,F46+G46&gt;0),L46&amp;"-","")</f>
      </c>
    </row>
    <row r="47" spans="1:48" ht="11.25" thickBot="1">
      <c r="A47" s="111"/>
      <c r="B47" s="91" t="s">
        <v>44</v>
      </c>
      <c r="C47" s="84">
        <v>45</v>
      </c>
      <c r="D47" s="92" t="str">
        <f>IF(D27="Sieger 1","Sieger 25",IF(E27="Sieger 2","Sieger 25",IF(D27=E27,"Freilos",IF(E27="Freilos",D27,IF(D27="Freilos",E27,IF(F27&gt;G27,D27,IF(G27&gt;F27,E27,"Sieger 25")))))))</f>
        <v>Obermeier, Andreas [29213]</v>
      </c>
      <c r="E47" s="93" t="str">
        <f>IF(D28="Sieger 3","Sieger 26",IF(E28="Sieger 4","Sieger 26",IF(D28=E28,"Freilos",IF(E28="Freilos",D28,IF(D28="Freilos",E28,IF(F28&gt;G28,D28,IF(G28&gt;F28,E28,"Sieger 26")))))))</f>
        <v>Dingler, Christian [20927]</v>
      </c>
      <c r="F47" s="171">
        <v>75</v>
      </c>
      <c r="G47" s="172">
        <v>34</v>
      </c>
      <c r="H47" s="172">
        <v>17</v>
      </c>
      <c r="I47" s="172">
        <v>17</v>
      </c>
      <c r="J47" s="172">
        <v>37</v>
      </c>
      <c r="K47" s="182">
        <v>17</v>
      </c>
      <c r="L47" s="194">
        <v>20</v>
      </c>
      <c r="M47" s="80"/>
      <c r="N47" s="66">
        <f t="shared" si="31"/>
        <v>109</v>
      </c>
      <c r="O47" s="66">
        <f t="shared" si="10"/>
        <v>109</v>
      </c>
      <c r="P47" s="66">
        <f t="shared" si="32"/>
        <v>1</v>
      </c>
      <c r="Q47" s="66">
        <f t="shared" si="33"/>
        <v>1</v>
      </c>
      <c r="R47" s="66">
        <f t="shared" si="34"/>
        <v>1</v>
      </c>
      <c r="S47" s="66">
        <f t="shared" si="35"/>
        <v>0</v>
      </c>
      <c r="T47" s="127">
        <f>IF(E47="Freilos",3,IF(F47&gt;G47,3,0))</f>
        <v>3</v>
      </c>
      <c r="U47" s="127">
        <f>IF(D47="Freilos",3,IF(G47&gt;F47,3,0))</f>
        <v>0</v>
      </c>
      <c r="V47" s="106">
        <f>IF(Auslosung_Turnierdaten!F20="","",12)</f>
        <v>12</v>
      </c>
      <c r="W47" s="107" t="str">
        <f>IF(SP32!V47="","",Auslosung_Turnierdaten!F20)</f>
        <v>Becherer, Thomas [25734]</v>
      </c>
      <c r="X47" s="107" t="str">
        <f>IF(SP32!V47="","",Auslosung_Turnierdaten!G20)</f>
        <v>BC Haunstetten</v>
      </c>
      <c r="Y47" s="107">
        <f>IF(SP32!V47="","",Auslosung_Turnierdaten!H20)</f>
        <v>0</v>
      </c>
      <c r="Z47" s="107">
        <f>IF(SP32!V47="","",Auslosung_Turnierdaten!I20)</f>
        <v>0</v>
      </c>
      <c r="AA47" s="108">
        <f>IF(SP32!V47="","",SP32!X14)</f>
        <v>12</v>
      </c>
      <c r="AB47" s="108">
        <f>IF(SP32!V47="","",SP32!Z14)</f>
        <v>3</v>
      </c>
      <c r="AC47" s="108">
        <f>IF(SP32!V47="","",SP32!AA14)</f>
        <v>1</v>
      </c>
      <c r="AD47" s="108">
        <f>IF(SP32!V47="","",SP32!AC14)</f>
        <v>286</v>
      </c>
      <c r="AE47" s="108">
        <f>IF(SP32!V47="","",IF(AE35="VSp",SP32!AD14,SP32!AF14))</f>
        <v>90</v>
      </c>
      <c r="AF47" s="109">
        <f>IF(SP32!V47="","",IF(AF35="Quot",SP32!AE14,SP32!AG14))</f>
        <v>3.1777777777777776</v>
      </c>
      <c r="AG47" s="109">
        <f>IF(AG35="BED",SP32!AH14,"")</f>
        <v>9.375</v>
      </c>
      <c r="AH47" s="110">
        <f>IF(AH35="HS",SP32!AI14,"")</f>
        <v>16</v>
      </c>
      <c r="AL47" s="124"/>
      <c r="AM47" s="125"/>
      <c r="AN47" s="126"/>
      <c r="AO47" s="66">
        <f t="shared" si="21"/>
      </c>
      <c r="AQ47" s="66">
        <f t="shared" si="22"/>
      </c>
      <c r="AR47" s="179"/>
      <c r="AS47" s="179"/>
      <c r="AT47" s="180">
        <f t="shared" si="23"/>
      </c>
      <c r="AV47" s="66">
        <f>IF(AND(COUNTIF(L47:L47:L47:$L$62,L47)=1,F47+G47&gt;0),L47&amp;"-","")</f>
      </c>
    </row>
    <row r="48" spans="3:48" ht="10.5">
      <c r="C48" s="84">
        <v>46</v>
      </c>
      <c r="D48" s="94" t="str">
        <f>IF(D29="Sieger 5","Sieger 27",IF(E29="Sieger 6","Sieger 27",IF(D29=E29,"Freilos",IF(E29="Freilos",D29,IF(D29="Freilos",E29,IF(F29&gt;G29,D29,IF(G29&gt;F29,E29,"Sieger 27")))))))</f>
        <v>Hirschbichler, Robert [22548]</v>
      </c>
      <c r="E48" s="95" t="str">
        <f>IF(D30="Sieger 7","Sieger 28",IF(E30="Sieger 8","Sieger 28",IF(D30=E30,"Freilos",IF(E30="Freilos",D30,IF(D30="Freilos",E30,IF(F30&gt;G30,D30,IF(G30&gt;F30,E30,"Sieger 28")))))))</f>
        <v>Smith, Mike jun. [31558]</v>
      </c>
      <c r="F48" s="173">
        <v>75</v>
      </c>
      <c r="G48" s="174">
        <v>2</v>
      </c>
      <c r="H48" s="174">
        <v>6</v>
      </c>
      <c r="I48" s="174">
        <v>6</v>
      </c>
      <c r="J48" s="174">
        <v>34</v>
      </c>
      <c r="K48" s="183">
        <v>1</v>
      </c>
      <c r="L48" s="161">
        <v>14</v>
      </c>
      <c r="M48" s="80"/>
      <c r="N48" s="66">
        <f t="shared" si="31"/>
        <v>77</v>
      </c>
      <c r="O48" s="66">
        <f t="shared" si="10"/>
        <v>77</v>
      </c>
      <c r="P48" s="66">
        <f t="shared" si="32"/>
        <v>1</v>
      </c>
      <c r="Q48" s="66">
        <f t="shared" si="33"/>
        <v>1</v>
      </c>
      <c r="R48" s="66">
        <f t="shared" si="34"/>
        <v>1</v>
      </c>
      <c r="S48" s="66">
        <f t="shared" si="35"/>
        <v>0</v>
      </c>
      <c r="T48" s="127">
        <f aca="true" t="shared" si="36" ref="T48:T54">IF(E48="Freilos",3,IF(F48&gt;G48,3,0))</f>
        <v>3</v>
      </c>
      <c r="U48" s="127">
        <f aca="true" t="shared" si="37" ref="U48:U54">IF(D48="Freilos",3,IF(G48&gt;F48,3,0))</f>
        <v>0</v>
      </c>
      <c r="V48" s="106">
        <f>IF(Auslosung_Turnierdaten!F21="","",13)</f>
        <v>13</v>
      </c>
      <c r="W48" s="107" t="str">
        <f>IF(SP32!V48="","",Auslosung_Turnierdaten!F21)</f>
        <v>Mader, Martin [26601]</v>
      </c>
      <c r="X48" s="107" t="str">
        <f>IF(SP32!V48="","",Auslosung_Turnierdaten!G21)</f>
        <v>PBC Ulm/Neu-Ulm</v>
      </c>
      <c r="Y48" s="107">
        <f>IF(SP32!V48="","",Auslosung_Turnierdaten!H21)</f>
        <v>0</v>
      </c>
      <c r="Z48" s="107">
        <f>IF(SP32!V48="","",Auslosung_Turnierdaten!I21)</f>
        <v>0</v>
      </c>
      <c r="AA48" s="108">
        <f>IF(SP32!V48="","",SP32!X15)</f>
        <v>0</v>
      </c>
      <c r="AB48" s="108">
        <f>IF(SP32!V48="","",SP32!Z15)</f>
        <v>0</v>
      </c>
      <c r="AC48" s="108">
        <f>IF(SP32!V48="","",SP32!AA15)</f>
        <v>2</v>
      </c>
      <c r="AD48" s="108">
        <f>IF(SP32!V48="","",SP32!AC15)</f>
        <v>121</v>
      </c>
      <c r="AE48" s="108">
        <f>IF(SP32!V48="","",IF(AE35="VSp",SP32!AD15,SP32!AF15))</f>
        <v>37</v>
      </c>
      <c r="AF48" s="109">
        <f>IF(SP32!V48="","",IF(AF35="Quot",SP32!AE15,SP32!AG15))</f>
        <v>3.27027027027027</v>
      </c>
      <c r="AG48" s="109">
        <f>IF(AG35="BED",SP32!AH15,"")</f>
        <v>0</v>
      </c>
      <c r="AH48" s="110">
        <f>IF(AH35="HS",SP32!AI15,"")</f>
        <v>24</v>
      </c>
      <c r="AL48" s="124"/>
      <c r="AM48" s="125"/>
      <c r="AN48" s="126"/>
      <c r="AO48" s="66">
        <f t="shared" si="21"/>
      </c>
      <c r="AQ48" s="66">
        <f t="shared" si="22"/>
      </c>
      <c r="AR48" s="179"/>
      <c r="AS48" s="179"/>
      <c r="AT48" s="180">
        <f t="shared" si="23"/>
      </c>
      <c r="AV48" s="66" t="str">
        <f>IF(AND(COUNTIF(L48:L48:L48:$L$62,L48)=1,F48+G48&gt;0),L48&amp;"-","")</f>
        <v>14-</v>
      </c>
    </row>
    <row r="49" spans="3:48" ht="10.5">
      <c r="C49" s="84">
        <v>47</v>
      </c>
      <c r="D49" s="94" t="str">
        <f>IF(D31="Sieger 9","Sieger 29",IF(E31="Sieger 10","Sieger 29",IF(D31=E31,"Freilos",IF(E31="Freilos",D31,IF(D31="Freilos",E31,IF(F31&gt;G31,D31,IF(G31&gt;F31,E31,"Sieger 29")))))))</f>
        <v>Uitz, Richard [16651]</v>
      </c>
      <c r="E49" s="95" t="str">
        <f>IF(D32="Sieger 11","Sieger 30",IF(E32="Sieger 12","Sieger 30",IF(D32=E32,"Freilos",IF(E32="Freilos",D32,IF(D32="Freilos",E32,IF(F32&gt;G32,D32,IF(G32&gt;F32,E32,"Sieger 30")))))))</f>
        <v>Scholz, Jürgen [35124]</v>
      </c>
      <c r="F49" s="173">
        <v>60</v>
      </c>
      <c r="G49" s="174">
        <v>75</v>
      </c>
      <c r="H49" s="174">
        <v>19</v>
      </c>
      <c r="I49" s="174">
        <v>20</v>
      </c>
      <c r="J49" s="174">
        <v>14</v>
      </c>
      <c r="K49" s="183">
        <v>11</v>
      </c>
      <c r="L49" s="161">
        <v>9</v>
      </c>
      <c r="M49" s="80"/>
      <c r="N49" s="66">
        <f t="shared" si="31"/>
        <v>135</v>
      </c>
      <c r="O49" s="66">
        <f t="shared" si="10"/>
        <v>135</v>
      </c>
      <c r="P49" s="66">
        <f t="shared" si="32"/>
        <v>1</v>
      </c>
      <c r="Q49" s="66">
        <f t="shared" si="33"/>
        <v>1</v>
      </c>
      <c r="R49" s="66">
        <f t="shared" si="34"/>
        <v>0</v>
      </c>
      <c r="S49" s="66">
        <f t="shared" si="35"/>
        <v>1</v>
      </c>
      <c r="T49" s="127">
        <f t="shared" si="36"/>
        <v>0</v>
      </c>
      <c r="U49" s="127">
        <f t="shared" si="37"/>
        <v>3</v>
      </c>
      <c r="V49" s="106">
        <f>IF(Auslosung_Turnierdaten!F22="","",14)</f>
        <v>14</v>
      </c>
      <c r="W49" s="107" t="str">
        <f>IF(SP32!V49="","",Auslosung_Turnierdaten!F22)</f>
        <v>Spahr, Alexander [29007]</v>
      </c>
      <c r="X49" s="107" t="str">
        <f>IF(SP32!V49="","",Auslosung_Turnierdaten!G22)</f>
        <v>PBC Lauingen</v>
      </c>
      <c r="Y49" s="107">
        <f>IF(SP32!V49="","",Auslosung_Turnierdaten!H22)</f>
        <v>0</v>
      </c>
      <c r="Z49" s="107">
        <f>IF(SP32!V49="","",Auslosung_Turnierdaten!I22)</f>
        <v>0</v>
      </c>
      <c r="AA49" s="108">
        <f>IF(SP32!V49="","",SP32!X16)</f>
        <v>0</v>
      </c>
      <c r="AB49" s="108">
        <f>IF(SP32!V49="","",SP32!Z16)</f>
        <v>0</v>
      </c>
      <c r="AC49" s="108">
        <f>IF(SP32!V49="","",SP32!AA16)</f>
        <v>2</v>
      </c>
      <c r="AD49" s="108">
        <f>IF(SP32!V49="","",SP32!AC16)</f>
        <v>93</v>
      </c>
      <c r="AE49" s="108">
        <f>IF(SP32!V49="","",IF(AE35="VSp",SP32!AD16,SP32!AF16))</f>
        <v>30</v>
      </c>
      <c r="AF49" s="109">
        <f>IF(SP32!V49="","",IF(AF35="Quot",SP32!AE16,SP32!AG16))</f>
        <v>3.1</v>
      </c>
      <c r="AG49" s="109">
        <f>IF(AG35="BED",SP32!AH16,"")</f>
        <v>0</v>
      </c>
      <c r="AH49" s="110">
        <f>IF(AH35="HS",SP32!AI16,"")</f>
        <v>11</v>
      </c>
      <c r="AL49" s="124"/>
      <c r="AM49" s="125"/>
      <c r="AN49" s="126"/>
      <c r="AO49" s="66">
        <f t="shared" si="21"/>
      </c>
      <c r="AQ49" s="66">
        <f t="shared" si="22"/>
      </c>
      <c r="AR49" s="179"/>
      <c r="AS49" s="179"/>
      <c r="AT49" s="180">
        <f t="shared" si="23"/>
      </c>
      <c r="AV49" s="66" t="str">
        <f>IF(AND(COUNTIF(L49:L49:L49:$L$62,L49)=1,F49+G49&gt;0),L49&amp;"-","")</f>
        <v>9-</v>
      </c>
    </row>
    <row r="50" spans="3:48" ht="11.25" thickBot="1">
      <c r="C50" s="84">
        <v>48</v>
      </c>
      <c r="D50" s="96" t="str">
        <f>IF(D33="Sieger 13","Sieger 31",IF(E33="Sieger 14","Sieger 31",IF(D33=E33,"Freilos",IF(E33="Freilos",D33,IF(D33="Freilos",E33,IF(F33&gt;G33,D33,IF(G33&gt;F33,E33,"Sieger 31")))))))</f>
        <v>Becherer, Thomas [25734]</v>
      </c>
      <c r="E50" s="97" t="str">
        <f>IF(D34="Sieger 15","Sieger 32",IF(E34="Sieger 16","Sieger 32",IF(D34=E34,"Freilos",IF(E34="Freilos",D34,IF(D34="Freilos",E34,IF(F34&gt;G34,D34,IF(G34&gt;F34,E34,"Sieger 32")))))))</f>
        <v>Au-Yeung, Michael [24627]</v>
      </c>
      <c r="F50" s="184">
        <v>75</v>
      </c>
      <c r="G50" s="185">
        <v>29</v>
      </c>
      <c r="H50" s="185">
        <v>8</v>
      </c>
      <c r="I50" s="185">
        <v>7</v>
      </c>
      <c r="J50" s="185">
        <v>16</v>
      </c>
      <c r="K50" s="186">
        <v>14</v>
      </c>
      <c r="L50" s="175">
        <v>17</v>
      </c>
      <c r="M50" s="80"/>
      <c r="N50" s="66">
        <f t="shared" si="31"/>
        <v>104</v>
      </c>
      <c r="O50" s="66">
        <f t="shared" si="10"/>
        <v>104</v>
      </c>
      <c r="P50" s="66">
        <f t="shared" si="32"/>
        <v>1</v>
      </c>
      <c r="Q50" s="66">
        <f t="shared" si="33"/>
        <v>1</v>
      </c>
      <c r="R50" s="66">
        <f t="shared" si="34"/>
        <v>1</v>
      </c>
      <c r="S50" s="66">
        <f t="shared" si="35"/>
        <v>0</v>
      </c>
      <c r="T50" s="127">
        <f t="shared" si="36"/>
        <v>3</v>
      </c>
      <c r="U50" s="127">
        <f t="shared" si="37"/>
        <v>0</v>
      </c>
      <c r="V50" s="106">
        <f>IF(Auslosung_Turnierdaten!F23="","",15)</f>
        <v>15</v>
      </c>
      <c r="W50" s="107" t="str">
        <f>IF(SP32!V50="","",Auslosung_Turnierdaten!F23)</f>
        <v>Braun, Dennis [39840]</v>
      </c>
      <c r="X50" s="107" t="str">
        <f>IF(SP32!V50="","",Auslosung_Turnierdaten!G23)</f>
        <v>BSC Martinsried</v>
      </c>
      <c r="Y50" s="107">
        <f>IF(SP32!V50="","",Auslosung_Turnierdaten!H23)</f>
        <v>0</v>
      </c>
      <c r="Z50" s="107">
        <f>IF(SP32!V50="","",Auslosung_Turnierdaten!I23)</f>
        <v>0</v>
      </c>
      <c r="AA50" s="108">
        <f>IF(SP32!V50="","",SP32!X17)</f>
        <v>9</v>
      </c>
      <c r="AB50" s="108">
        <f>IF(SP32!V50="","",SP32!Z17)</f>
        <v>3</v>
      </c>
      <c r="AC50" s="108">
        <f>IF(SP32!V50="","",SP32!AA17)</f>
        <v>2</v>
      </c>
      <c r="AD50" s="108">
        <f>IF(SP32!V50="","",SP32!AC17)</f>
        <v>319</v>
      </c>
      <c r="AE50" s="108">
        <f>IF(SP32!V50="","",IF(AE35="VSp",SP32!AD17,SP32!AF17))</f>
        <v>57</v>
      </c>
      <c r="AF50" s="109">
        <f>IF(SP32!V50="","",IF(AF35="Quot",SP32!AE17,SP32!AG17))</f>
        <v>5.5964912280701755</v>
      </c>
      <c r="AG50" s="109">
        <f>IF(AG35="BED",SP32!AH17,"")</f>
        <v>10.714285714285714</v>
      </c>
      <c r="AH50" s="110">
        <f>IF(AH35="HS",SP32!AI17,"")</f>
        <v>43</v>
      </c>
      <c r="AL50" s="124"/>
      <c r="AM50" s="125"/>
      <c r="AN50" s="126"/>
      <c r="AO50" s="66">
        <f t="shared" si="21"/>
      </c>
      <c r="AQ50" s="66">
        <f t="shared" si="22"/>
      </c>
      <c r="AR50" s="179"/>
      <c r="AS50" s="179"/>
      <c r="AT50" s="180">
        <f t="shared" si="23"/>
      </c>
      <c r="AV50" s="66">
        <f>IF(AND(COUNTIF(L50:L50:L50:$L$62,L50)=1,F50+G50&gt;0),L50&amp;"-","")</f>
      </c>
    </row>
    <row r="51" spans="2:48" ht="11.25" thickBot="1">
      <c r="B51" s="83" t="s">
        <v>43</v>
      </c>
      <c r="C51" s="84">
        <v>49</v>
      </c>
      <c r="D51" s="85" t="str">
        <f>IF(D43="Sieger 33","Sieger 41",IF(E43="Sieger 34","Sieger 41",IF(D43=E43,"Freilos",IF(E43="Freilos",D43,IF(D43="Freilos",E43,IF(F43&gt;G43,D43,IF(G43&gt;F43,E43,"Sieger 41")))))))</f>
        <v>Gruber, Stefan [30145]</v>
      </c>
      <c r="E51" s="86" t="str">
        <f>IF(D48="Sieger 27","Verlierer 46",IF(E48="Sieger 28","Verlierer 46",IF(D48=E48,"Freilos",IF(E48="Freilos",E48,IF(D48="Freilos",D48,IF(F48&gt;G48,E48,IF(G48&gt;F48,D48,"Verlierer 46")))))))</f>
        <v>Smith, Mike jun. [31558]</v>
      </c>
      <c r="F51" s="165">
        <v>75</v>
      </c>
      <c r="G51" s="166">
        <v>9</v>
      </c>
      <c r="H51" s="166">
        <v>6</v>
      </c>
      <c r="I51" s="166">
        <v>6</v>
      </c>
      <c r="J51" s="166">
        <v>28</v>
      </c>
      <c r="K51" s="187">
        <v>4</v>
      </c>
      <c r="L51" s="158">
        <v>20</v>
      </c>
      <c r="M51" s="80" t="str">
        <f aca="true" t="shared" si="38" ref="M51:M62">IF(F51&gt;G51,E51,IF(G51&gt;F51,D51,""))</f>
        <v>Smith, Mike jun. [31558]</v>
      </c>
      <c r="N51" s="66">
        <f t="shared" si="31"/>
        <v>84</v>
      </c>
      <c r="O51" s="66">
        <f t="shared" si="10"/>
        <v>84</v>
      </c>
      <c r="P51" s="66">
        <f t="shared" si="32"/>
        <v>1</v>
      </c>
      <c r="Q51" s="66">
        <f t="shared" si="33"/>
        <v>1</v>
      </c>
      <c r="R51" s="66">
        <f t="shared" si="34"/>
        <v>1</v>
      </c>
      <c r="S51" s="66">
        <f t="shared" si="35"/>
        <v>0</v>
      </c>
      <c r="T51" s="127">
        <f t="shared" si="36"/>
        <v>3</v>
      </c>
      <c r="U51" s="127">
        <f t="shared" si="37"/>
        <v>0</v>
      </c>
      <c r="V51" s="106">
        <f>IF(Auslosung_Turnierdaten!F24="","",16)</f>
        <v>16</v>
      </c>
      <c r="W51" s="107" t="str">
        <f>IF(SP32!V51="","",Auslosung_Turnierdaten!F24)</f>
        <v>Gruber, Stefan [30145]</v>
      </c>
      <c r="X51" s="107" t="str">
        <f>IF(SP32!V51="","",Auslosung_Turnierdaten!G24)</f>
        <v>PBC Augsburg</v>
      </c>
      <c r="Y51" s="107">
        <f>IF(SP32!V51="","",Auslosung_Turnierdaten!H24)</f>
        <v>0</v>
      </c>
      <c r="Z51" s="107">
        <f>IF(SP32!V51="","",Auslosung_Turnierdaten!I24)</f>
        <v>0</v>
      </c>
      <c r="AA51" s="108">
        <f>IF(SP32!V51="","",SP32!X18)</f>
        <v>15</v>
      </c>
      <c r="AB51" s="108">
        <f>IF(SP32!V51="","",SP32!Z18)</f>
        <v>5</v>
      </c>
      <c r="AC51" s="108">
        <f>IF(SP32!V51="","",SP32!AA18)</f>
        <v>2</v>
      </c>
      <c r="AD51" s="108">
        <f>IF(SP32!V51="","",SP32!AC18)</f>
        <v>433</v>
      </c>
      <c r="AE51" s="108">
        <f>IF(SP32!V51="","",IF(AE35="VSp",SP32!AD18,SP32!AF18))</f>
        <v>66</v>
      </c>
      <c r="AF51" s="109">
        <f>IF(SP32!V51="","",IF(AF35="Quot",SP32!AE18,SP32!AG18))</f>
        <v>6.5606060606060606</v>
      </c>
      <c r="AG51" s="109">
        <f>IF(AG35="BED",SP32!AH18,"")</f>
        <v>18.75</v>
      </c>
      <c r="AH51" s="110">
        <f>IF(AH35="HS",SP32!AI18,"")</f>
        <v>43</v>
      </c>
      <c r="AL51" s="124"/>
      <c r="AM51" s="125"/>
      <c r="AN51" s="126"/>
      <c r="AO51" s="66">
        <f t="shared" si="21"/>
      </c>
      <c r="AQ51" s="66">
        <f t="shared" si="22"/>
      </c>
      <c r="AR51" s="179"/>
      <c r="AS51" s="179"/>
      <c r="AT51" s="180">
        <f t="shared" si="23"/>
      </c>
      <c r="AV51" s="66">
        <f>IF(AND(COUNTIF(L51:L51:L51:$L$62,L51)=1,F51+G51&gt;0),L51&amp;"-","")</f>
      </c>
    </row>
    <row r="52" spans="3:48" ht="10.5">
      <c r="C52" s="84">
        <v>50</v>
      </c>
      <c r="D52" s="87" t="str">
        <f>IF(D44="Sieger 35","Sieger 42",IF(E44="Sieger 36","Sieger 42",IF(D44=E44,"Freilos",IF(E44="Freilos",D44,IF(D44="Freilos",E44,IF(F44&gt;G44,D44,IF(G44&gt;F44,E44,"Sieger 42")))))))</f>
        <v>Heimmerer, Benjamin [34073]</v>
      </c>
      <c r="E52" s="88" t="str">
        <f>IF(D47="Sieger 25","Verlierer 45",IF(E47="Sieger 26","Verlierer 45",IF(D47=E47,"Freilos",IF(E47="Freilos",E47,IF(D47="Freilos",D47,IF(F47&gt;G47,E47,IF(G47&gt;F47,D47,"Verlierer 45")))))))</f>
        <v>Dingler, Christian [20927]</v>
      </c>
      <c r="F52" s="167">
        <v>75</v>
      </c>
      <c r="G52" s="168">
        <v>38</v>
      </c>
      <c r="H52" s="168">
        <v>9</v>
      </c>
      <c r="I52" s="168">
        <v>9</v>
      </c>
      <c r="J52" s="168">
        <v>28</v>
      </c>
      <c r="K52" s="188">
        <v>14</v>
      </c>
      <c r="L52" s="194">
        <v>17</v>
      </c>
      <c r="M52" s="80" t="str">
        <f t="shared" si="38"/>
        <v>Dingler, Christian [20927]</v>
      </c>
      <c r="N52" s="66">
        <f t="shared" si="31"/>
        <v>113</v>
      </c>
      <c r="O52" s="66">
        <f t="shared" si="10"/>
        <v>113</v>
      </c>
      <c r="P52" s="66">
        <f t="shared" si="32"/>
        <v>1</v>
      </c>
      <c r="Q52" s="66">
        <f t="shared" si="33"/>
        <v>1</v>
      </c>
      <c r="R52" s="66">
        <f t="shared" si="34"/>
        <v>1</v>
      </c>
      <c r="S52" s="66">
        <f t="shared" si="35"/>
        <v>0</v>
      </c>
      <c r="T52" s="127">
        <f t="shared" si="36"/>
        <v>3</v>
      </c>
      <c r="U52" s="127">
        <f t="shared" si="37"/>
        <v>0</v>
      </c>
      <c r="V52" s="106">
        <f>IF(Auslosung_Turnierdaten!F25="","",17)</f>
        <v>17</v>
      </c>
      <c r="W52" s="107" t="str">
        <f>IF(SP32!V52="","",Auslosung_Turnierdaten!F25)</f>
        <v>Ruths, Georg [40922]</v>
      </c>
      <c r="X52" s="107" t="str">
        <f>IF(SP32!V52="","",Auslosung_Turnierdaten!G25)</f>
        <v>PBC Weilheim</v>
      </c>
      <c r="Y52" s="107">
        <f>IF(SP32!V52="","",Auslosung_Turnierdaten!H25)</f>
        <v>0</v>
      </c>
      <c r="Z52" s="107">
        <f>IF(SP32!V52="","",Auslosung_Turnierdaten!I25)</f>
        <v>0</v>
      </c>
      <c r="AA52" s="108">
        <f>IF(SP32!V52="","",SP32!X19)</f>
        <v>0</v>
      </c>
      <c r="AB52" s="108">
        <f>IF(SP32!V52="","",SP32!Z19)</f>
        <v>0</v>
      </c>
      <c r="AC52" s="108">
        <f>IF(SP32!V52="","",SP32!AA19)</f>
        <v>2</v>
      </c>
      <c r="AD52" s="108">
        <f>IF(SP32!V52="","",SP32!AC19)</f>
        <v>52</v>
      </c>
      <c r="AE52" s="108">
        <f>IF(SP32!V52="","",IF(AE35="VSp",SP32!AD19,SP32!AF19))</f>
        <v>25</v>
      </c>
      <c r="AF52" s="109">
        <f>IF(SP32!V52="","",IF(AF35="Quot",SP32!AE19,SP32!AG19))</f>
        <v>2.08</v>
      </c>
      <c r="AG52" s="109">
        <f>IF(AG35="BED",SP32!AH19,"")</f>
        <v>0</v>
      </c>
      <c r="AH52" s="110">
        <f>IF(AH35="HS",SP32!AI19,"")</f>
        <v>9</v>
      </c>
      <c r="AL52" s="124"/>
      <c r="AM52" s="125"/>
      <c r="AN52" s="126"/>
      <c r="AO52" s="66">
        <f t="shared" si="21"/>
      </c>
      <c r="AQ52" s="66">
        <f t="shared" si="22"/>
      </c>
      <c r="AR52" s="179"/>
      <c r="AS52" s="179"/>
      <c r="AT52" s="180">
        <f t="shared" si="23"/>
      </c>
      <c r="AV52" s="66">
        <f>IF(AND(COUNTIF(L52:L52:L52:$L$62,L52)=1,F52+G52&gt;0),L52&amp;"-","")</f>
      </c>
    </row>
    <row r="53" spans="3:48" ht="10.5">
      <c r="C53" s="84">
        <v>51</v>
      </c>
      <c r="D53" s="87" t="str">
        <f>IF(D45="Sieger 37","Sieger 43",IF(E45="Sieger 38","Sieger 43",IF(D45=E45,"Freilos",IF(E45="Freilos",D45,IF(D45="Freilos",E45,IF(F45&gt;G45,D45,IF(G45&gt;F45,E45,"Sieger 43")))))))</f>
        <v>Braun, Dennis [39840]</v>
      </c>
      <c r="E53" s="88" t="str">
        <f>IF(D50="Sieger 31","Verlierer 48",IF(E50="Sieger 32","Verlierer 48",IF(D50=E50,"Freilos",IF(E50="Freilos",E50,IF(D50="Freilos",D50,IF(F50&gt;G50,E50,IF(G50&gt;F50,D50,"Verlierer 48")))))))</f>
        <v>Au-Yeung, Michael [24627]</v>
      </c>
      <c r="F53" s="167">
        <v>30</v>
      </c>
      <c r="G53" s="168">
        <v>75</v>
      </c>
      <c r="H53" s="168">
        <v>8</v>
      </c>
      <c r="I53" s="168">
        <v>8</v>
      </c>
      <c r="J53" s="168">
        <v>14</v>
      </c>
      <c r="K53" s="188">
        <v>16</v>
      </c>
      <c r="L53" s="194">
        <v>19</v>
      </c>
      <c r="M53" s="80" t="str">
        <f t="shared" si="38"/>
        <v>Braun, Dennis [39840]</v>
      </c>
      <c r="N53" s="66">
        <f t="shared" si="31"/>
        <v>105</v>
      </c>
      <c r="O53" s="66">
        <f t="shared" si="10"/>
        <v>105</v>
      </c>
      <c r="P53" s="66">
        <f t="shared" si="32"/>
        <v>1</v>
      </c>
      <c r="Q53" s="66">
        <f t="shared" si="33"/>
        <v>1</v>
      </c>
      <c r="R53" s="66">
        <f t="shared" si="34"/>
        <v>0</v>
      </c>
      <c r="S53" s="66">
        <f t="shared" si="35"/>
        <v>1</v>
      </c>
      <c r="T53" s="127">
        <f t="shared" si="36"/>
        <v>0</v>
      </c>
      <c r="U53" s="127">
        <f t="shared" si="37"/>
        <v>3</v>
      </c>
      <c r="V53" s="106">
        <f>IF(Auslosung_Turnierdaten!F26="","",18)</f>
        <v>18</v>
      </c>
      <c r="W53" s="107" t="str">
        <f>IF(SP32!V53="","",Auslosung_Turnierdaten!F26)</f>
        <v>Uitz, Richard [16651]</v>
      </c>
      <c r="X53" s="107" t="str">
        <f>IF(SP32!V53="","",Auslosung_Turnierdaten!G26)</f>
        <v>PBC Ulm/Neu-Ulm</v>
      </c>
      <c r="Y53" s="107">
        <f>IF(SP32!V53="","",Auslosung_Turnierdaten!H26)</f>
        <v>0</v>
      </c>
      <c r="Z53" s="107">
        <f>IF(SP32!V53="","",Auslosung_Turnierdaten!I26)</f>
        <v>0</v>
      </c>
      <c r="AA53" s="108">
        <f>IF(SP32!V53="","",SP32!X20)</f>
        <v>9</v>
      </c>
      <c r="AB53" s="108">
        <f>IF(SP32!V53="","",SP32!Z20)</f>
        <v>2</v>
      </c>
      <c r="AC53" s="108">
        <f>IF(SP32!V53="","",SP32!AA20)</f>
        <v>2</v>
      </c>
      <c r="AD53" s="108">
        <f>IF(SP32!V53="","",SP32!AC20)</f>
        <v>208</v>
      </c>
      <c r="AE53" s="108">
        <f>IF(SP32!V53="","",IF(AE35="VSp",SP32!AD20,SP32!AF20))</f>
        <v>65</v>
      </c>
      <c r="AF53" s="109">
        <f>IF(SP32!V53="","",IF(AF35="Quot",SP32!AE20,SP32!AG20))</f>
        <v>3.2</v>
      </c>
      <c r="AG53" s="109">
        <f>IF(AG35="BED",SP32!AH20,"")</f>
        <v>4.6875</v>
      </c>
      <c r="AH53" s="110">
        <f>IF(AH35="HS",SP32!AI20,"")</f>
        <v>38</v>
      </c>
      <c r="AL53" s="124"/>
      <c r="AM53" s="125"/>
      <c r="AN53" s="126"/>
      <c r="AO53" s="66">
        <f t="shared" si="21"/>
      </c>
      <c r="AQ53" s="66">
        <f t="shared" si="22"/>
      </c>
      <c r="AR53" s="179"/>
      <c r="AS53" s="179"/>
      <c r="AT53" s="180">
        <f t="shared" si="23"/>
      </c>
      <c r="AV53" s="66">
        <f>IF(AND(COUNTIF(L53:L53:L53:$L$62,L53)=1,F53+G53&gt;0),L53&amp;"-","")</f>
      </c>
    </row>
    <row r="54" spans="3:48" ht="11.25" thickBot="1">
      <c r="C54" s="84">
        <v>52</v>
      </c>
      <c r="D54" s="89" t="str">
        <f>IF(D46="Sieger 39","Sieger 44",IF(E46="Sieger 40","Sieger 44",IF(D46=E46,"Freilos",IF(E46="Freilos",D46,IF(D46="Freilos",E46,IF(F46&gt;G46,D46,IF(G46&gt;F46,E46,"Sieger 44")))))))</f>
        <v>Kuloyants, Valery [34790]</v>
      </c>
      <c r="E54" s="90" t="str">
        <f>IF(D49="Sieger 29","Verlierer 47",IF(E49="Sieger 30","Verlierer 47",IF(D49=E49,"Freilos",IF(E49="Freilos",E49,IF(D49="Freilos",D49,IF(F49&gt;G49,E49,IF(G49&gt;F49,D49,"Verlierer 47")))))))</f>
        <v>Uitz, Richard [16651]</v>
      </c>
      <c r="F54" s="176">
        <v>75</v>
      </c>
      <c r="G54" s="177">
        <v>-2</v>
      </c>
      <c r="H54" s="177">
        <v>1</v>
      </c>
      <c r="I54" s="177">
        <v>1</v>
      </c>
      <c r="J54" s="177">
        <v>75</v>
      </c>
      <c r="K54" s="190">
        <v>-2</v>
      </c>
      <c r="L54" s="198">
        <v>16</v>
      </c>
      <c r="M54" s="80" t="str">
        <f t="shared" si="38"/>
        <v>Uitz, Richard [16651]</v>
      </c>
      <c r="N54" s="66">
        <f t="shared" si="31"/>
        <v>73</v>
      </c>
      <c r="O54" s="66">
        <f t="shared" si="10"/>
        <v>73</v>
      </c>
      <c r="P54" s="66">
        <f t="shared" si="32"/>
        <v>1</v>
      </c>
      <c r="Q54" s="66">
        <f t="shared" si="33"/>
        <v>1</v>
      </c>
      <c r="R54" s="66">
        <f t="shared" si="34"/>
        <v>1</v>
      </c>
      <c r="S54" s="66">
        <f t="shared" si="35"/>
        <v>0</v>
      </c>
      <c r="T54" s="127">
        <f t="shared" si="36"/>
        <v>3</v>
      </c>
      <c r="U54" s="127">
        <f t="shared" si="37"/>
        <v>0</v>
      </c>
      <c r="V54" s="106">
        <f>IF(Auslosung_Turnierdaten!F27="","",19)</f>
        <v>19</v>
      </c>
      <c r="W54" s="107" t="str">
        <f>IF(SP32!V54="","",Auslosung_Turnierdaten!F27)</f>
        <v>Kömürcü, Levent [20064]</v>
      </c>
      <c r="X54" s="107" t="str">
        <f>IF(SP32!V54="","",Auslosung_Turnierdaten!G27)</f>
        <v>PBC Augsburg</v>
      </c>
      <c r="Y54" s="107">
        <f>IF(SP32!V54="","",Auslosung_Turnierdaten!H27)</f>
        <v>0</v>
      </c>
      <c r="Z54" s="107">
        <f>IF(SP32!V54="","",Auslosung_Turnierdaten!I27)</f>
        <v>0</v>
      </c>
      <c r="AA54" s="108">
        <f>IF(SP32!V54="","",SP32!X21)</f>
        <v>0</v>
      </c>
      <c r="AB54" s="108">
        <f>IF(SP32!V54="","",SP32!Z21)</f>
        <v>0</v>
      </c>
      <c r="AC54" s="108">
        <f>IF(SP32!V54="","",SP32!AA21)</f>
        <v>2</v>
      </c>
      <c r="AD54" s="108">
        <f>IF(SP32!V54="","",SP32!AC21)</f>
        <v>123</v>
      </c>
      <c r="AE54" s="108">
        <f>IF(SP32!V54="","",IF(AE35="VSp",SP32!AD21,SP32!AF21))</f>
        <v>31</v>
      </c>
      <c r="AF54" s="109">
        <f>IF(SP32!V54="","",IF(AF35="Quot",SP32!AE21,SP32!AG21))</f>
        <v>3.967741935483871</v>
      </c>
      <c r="AG54" s="109">
        <f>IF(AG35="BED",SP32!AH21,"")</f>
        <v>0</v>
      </c>
      <c r="AH54" s="110">
        <f>IF(AH35="HS",SP32!AI21,"")</f>
        <v>22</v>
      </c>
      <c r="AL54" s="124"/>
      <c r="AM54" s="125"/>
      <c r="AN54" s="126"/>
      <c r="AO54" s="66">
        <f t="shared" si="21"/>
      </c>
      <c r="AQ54" s="66">
        <f t="shared" si="22"/>
      </c>
      <c r="AR54" s="179"/>
      <c r="AS54" s="179"/>
      <c r="AT54" s="180">
        <f t="shared" si="23"/>
      </c>
      <c r="AV54" s="66">
        <f>IF(AND(COUNTIF(L54:L54:L54:$L$62,L54)=1,F54+G54&gt;0),L54&amp;"-","")</f>
      </c>
    </row>
    <row r="55" spans="2:48" ht="11.25" thickBot="1">
      <c r="B55" s="216" t="s">
        <v>147</v>
      </c>
      <c r="C55" s="84">
        <v>53</v>
      </c>
      <c r="D55" s="204" t="str">
        <f>IF(D47="Sieger 25","Sieger 45",IF(E47="Sieger 26","Sieger 45",IF(D47=E47,"Freilos",IF(E47="Freilos",D47,IF(D47="Freilos",E47,IF(F47&gt;G47,D47,IF(G47&gt;F47,E47,"Sieger 45")))))))</f>
        <v>Obermeier, Andreas [29213]</v>
      </c>
      <c r="E55" s="205" t="str">
        <f>IF(D54="Sieger 44","Sieger 52",IF(E54="Verlierer 47","Sieger 52",IF(D54=E54,"Freilos",IF(E54="Freilos",D54,IF(D54="Freilos",E54,IF(F54&gt;G54,D54,IF(G54&gt;F54,E54,"Sieger 52")))))))</f>
        <v>Kuloyants, Valery [34790]</v>
      </c>
      <c r="F55" s="228">
        <v>15</v>
      </c>
      <c r="G55" s="222">
        <v>75</v>
      </c>
      <c r="H55" s="221">
        <v>5</v>
      </c>
      <c r="I55" s="221">
        <v>5</v>
      </c>
      <c r="J55" s="221">
        <v>14</v>
      </c>
      <c r="K55" s="206">
        <v>56</v>
      </c>
      <c r="L55" s="158">
        <v>16</v>
      </c>
      <c r="M55" s="80" t="str">
        <f t="shared" si="38"/>
        <v>Obermeier, Andreas [29213]</v>
      </c>
      <c r="N55" s="66">
        <f t="shared" si="9"/>
        <v>90</v>
      </c>
      <c r="O55" s="66">
        <f t="shared" si="10"/>
        <v>90</v>
      </c>
      <c r="P55" s="66">
        <f>IF(E58="Freilos",0,IF(F55&lt;G55,1,IF(F55&gt;G55,1,0)))</f>
        <v>1</v>
      </c>
      <c r="Q55" s="66">
        <f>IF(E58="Freilos",0,IF(F55&lt;G55,1,IF(F55&gt;G55,1,0)))</f>
        <v>1</v>
      </c>
      <c r="R55" s="66">
        <f>IF(E58="Freilos",0,IF(F55&gt;G55,1,0))</f>
        <v>0</v>
      </c>
      <c r="S55" s="66">
        <f>IF(E58="Freilos",0,IF(G55&gt;F55,1,0))</f>
        <v>1</v>
      </c>
      <c r="T55" s="127">
        <f>IF(E55="Freilos",3,IF(F55&gt;G55,3,0))</f>
        <v>0</v>
      </c>
      <c r="U55" s="127">
        <f>IF(D55="Freilos",3,IF(G55&gt;F55,3,0))</f>
        <v>3</v>
      </c>
      <c r="V55" s="106">
        <f>IF(Auslosung_Turnierdaten!F28="","",20)</f>
        <v>20</v>
      </c>
      <c r="W55" s="107" t="str">
        <f>IF(SP32!V55="","",Auslosung_Turnierdaten!F28)</f>
        <v>Bachl, Norbert [16304]</v>
      </c>
      <c r="X55" s="107" t="str">
        <f>IF(SP32!V55="","",Auslosung_Turnierdaten!G28)</f>
        <v>1.PBC Königsbrunn</v>
      </c>
      <c r="Y55" s="107">
        <f>IF(SP32!V55="","",Auslosung_Turnierdaten!H28)</f>
        <v>0</v>
      </c>
      <c r="Z55" s="107">
        <f>IF(SP32!V55="","",Auslosung_Turnierdaten!I28)</f>
        <v>0</v>
      </c>
      <c r="AA55" s="108">
        <f>IF(SP32!V55="","",SP32!X22)</f>
        <v>3</v>
      </c>
      <c r="AB55" s="108">
        <f>IF(SP32!V55="","",SP32!Z22)</f>
        <v>1</v>
      </c>
      <c r="AC55" s="108">
        <f>IF(SP32!V55="","",SP32!AA22)</f>
        <v>2</v>
      </c>
      <c r="AD55" s="108">
        <f>IF(SP32!V55="","",SP32!AC22)</f>
        <v>172</v>
      </c>
      <c r="AE55" s="108">
        <f>IF(SP32!V55="","",IF(AE35="VSp",SP32!AD22,SP32!AF22))</f>
        <v>87</v>
      </c>
      <c r="AF55" s="109">
        <f>IF(SP32!V55="","",IF(AF35="Quot",SP32!AE22,SP32!AG22))</f>
        <v>1.9770114942528736</v>
      </c>
      <c r="AG55" s="109">
        <f>IF(AG35="BED",SP32!AH22,"")</f>
        <v>2.027027027027027</v>
      </c>
      <c r="AH55" s="110">
        <f>IF(AH35="HS",SP32!AI22,"")</f>
        <v>23</v>
      </c>
      <c r="AL55" s="124"/>
      <c r="AM55" s="125"/>
      <c r="AN55" s="126"/>
      <c r="AO55" s="66">
        <f t="shared" si="21"/>
      </c>
      <c r="AQ55" s="66">
        <f>IF(OR(E58="Freilos",E57="Freilos"),1,"")</f>
      </c>
      <c r="AR55" s="179"/>
      <c r="AS55" s="179"/>
      <c r="AT55" s="180">
        <f t="shared" si="23"/>
      </c>
      <c r="AV55" s="66" t="str">
        <f>IF(AND(COUNTIF(L55:L55:L55:$L$62,L55)=1,F55+G55&gt;0),L55&amp;"-","")</f>
        <v>16-</v>
      </c>
    </row>
    <row r="56" spans="3:48" ht="10.5">
      <c r="C56" s="84">
        <v>54</v>
      </c>
      <c r="D56" s="207" t="str">
        <f>IF(D48="Sieger 27","Sieger 46",IF(E48="Sieger 28","Sieger 46",IF(D48=E48,"Freilos",IF(E48="Freilos",D48,IF(D48="Freilos",E48,IF(F48&gt;G48,D48,IF(G48&gt;F48,E48,"Sieger 46")))))))</f>
        <v>Hirschbichler, Robert [22548]</v>
      </c>
      <c r="E56" s="208" t="str">
        <f>IF(D53="Sieger 43","Sieger 51",IF(E53="Verlierer 48","Sieger 51",IF(D53=E54,"Freilos",IF(E54="Freilos",D53,IF(D53="Freilos",E53,IF(F53&gt;G53,D53,IF(G53&gt;F53,E53,"Sieger 51")))))))</f>
        <v>Au-Yeung, Michael [24627]</v>
      </c>
      <c r="F56" s="229">
        <v>34</v>
      </c>
      <c r="G56" s="225">
        <v>75</v>
      </c>
      <c r="H56" s="227">
        <v>6</v>
      </c>
      <c r="I56" s="227">
        <v>6</v>
      </c>
      <c r="J56" s="227">
        <v>18</v>
      </c>
      <c r="K56" s="209">
        <v>33</v>
      </c>
      <c r="L56" s="161">
        <v>19</v>
      </c>
      <c r="M56" s="80" t="str">
        <f t="shared" si="38"/>
        <v>Hirschbichler, Robert [22548]</v>
      </c>
      <c r="N56" s="66">
        <f t="shared" si="9"/>
        <v>109</v>
      </c>
      <c r="O56" s="66">
        <f t="shared" si="10"/>
        <v>109</v>
      </c>
      <c r="P56" s="66">
        <f>IF(E56="Freilos",0,IF(F56&lt;G56,1,IF(F56&gt;G56,1,0)))</f>
        <v>1</v>
      </c>
      <c r="Q56" s="66">
        <f>IF(E56="Freilos",0,IF(F56&lt;G56,1,IF(F56&gt;G56,1,0)))</f>
        <v>1</v>
      </c>
      <c r="R56" s="66">
        <f>IF(E56="Freilos",0,IF(F56&gt;G56,1,0))</f>
        <v>0</v>
      </c>
      <c r="S56" s="66">
        <f>IF(E56="Freilos",0,IF(G56&gt;F56,1,0))</f>
        <v>1</v>
      </c>
      <c r="T56" s="127">
        <f>IF(E56="Freilos",3,IF(F56&gt;G56,3,0))</f>
        <v>0</v>
      </c>
      <c r="U56" s="127">
        <f>IF(D56="Freilos",3,IF(G56&gt;F56,3,0))</f>
        <v>3</v>
      </c>
      <c r="V56" s="106">
        <f>IF(Auslosung_Turnierdaten!F29="","",21)</f>
        <v>21</v>
      </c>
      <c r="W56" s="107" t="str">
        <f>IF(SP32!V56="","",Auslosung_Turnierdaten!F29)</f>
        <v>Schmid, Andreas [18352]</v>
      </c>
      <c r="X56" s="107" t="str">
        <f>IF(SP32!V56="","",Auslosung_Turnierdaten!G29)</f>
        <v>PBC Mindelheim</v>
      </c>
      <c r="Y56" s="107">
        <f>IF(SP32!V56="","",Auslosung_Turnierdaten!H29)</f>
        <v>0</v>
      </c>
      <c r="Z56" s="107">
        <f>IF(SP32!V56="","",Auslosung_Turnierdaten!I29)</f>
        <v>0</v>
      </c>
      <c r="AA56" s="108">
        <f>IF(SP32!V56="","",SP32!X23)</f>
        <v>6</v>
      </c>
      <c r="AB56" s="108">
        <f>IF(SP32!V56="","",SP32!Z23)</f>
        <v>2</v>
      </c>
      <c r="AC56" s="108">
        <f>IF(SP32!V56="","",SP32!AA23)</f>
        <v>2</v>
      </c>
      <c r="AD56" s="108">
        <f>IF(SP32!V56="","",SP32!AC23)</f>
        <v>198</v>
      </c>
      <c r="AE56" s="108">
        <f>IF(SP32!V56="","",IF(AE35="VSp",SP32!AD23,SP32!AF23))</f>
        <v>36</v>
      </c>
      <c r="AF56" s="109">
        <f>IF(SP32!V56="","",IF(AF35="Quot",SP32!AE23,SP32!AG23))</f>
        <v>5.5</v>
      </c>
      <c r="AG56" s="109">
        <f>IF(AG35="BED",SP32!AH23,"")</f>
        <v>3.75</v>
      </c>
      <c r="AH56" s="110">
        <f>IF(AH35="HS",SP32!AI23,"")</f>
        <v>20</v>
      </c>
      <c r="AL56" s="124"/>
      <c r="AM56" s="125"/>
      <c r="AN56" s="126"/>
      <c r="AO56" s="66">
        <f t="shared" si="21"/>
      </c>
      <c r="AQ56" s="66">
        <f>IF(OR(E56="Freilos",E55="Freilos"),1,"")</f>
      </c>
      <c r="AR56" s="179"/>
      <c r="AS56" s="179"/>
      <c r="AT56" s="180">
        <f t="shared" si="23"/>
      </c>
      <c r="AV56" s="66">
        <f>IF(AND(COUNTIF(L56:L56:L56:$L$62,L56)=1,F56+G56&gt;0),L56&amp;"-","")</f>
      </c>
    </row>
    <row r="57" spans="3:48" ht="10.5">
      <c r="C57" s="84">
        <v>55</v>
      </c>
      <c r="D57" s="207" t="str">
        <f>IF(D49="Sieger 29","Sieger 47",IF(E49="Sieger 30","Sieger 47",IF(D49=E49,"Freilos",IF(E49="Freilos",D49,IF(D49="Freilos",E49,IF(F49&gt;G49,D49,IF(G49&gt;F49,E49,"Sieger 47")))))))</f>
        <v>Scholz, Jürgen [35124]</v>
      </c>
      <c r="E57" s="208" t="str">
        <f>IF(D52="Sieger 42","Sieger 50",IF(E52="Verlierer 45","Sieger 50",IF(D52=E52,"Freilos",IF(E52="Freilos",D52,IF(D52="Freilos",E52,IF(F52&gt;G52,D52,IF(G52&gt;F52,E52,"Sieger 50")))))))</f>
        <v>Heimmerer, Benjamin [34073]</v>
      </c>
      <c r="F57" s="229">
        <v>29</v>
      </c>
      <c r="G57" s="225">
        <v>75</v>
      </c>
      <c r="H57" s="227">
        <v>7</v>
      </c>
      <c r="I57" s="227">
        <v>7</v>
      </c>
      <c r="J57" s="227">
        <v>16</v>
      </c>
      <c r="K57" s="209">
        <v>25</v>
      </c>
      <c r="L57" s="161">
        <v>17</v>
      </c>
      <c r="M57" s="80" t="str">
        <f t="shared" si="38"/>
        <v>Scholz, Jürgen [35124]</v>
      </c>
      <c r="N57" s="66">
        <f t="shared" si="9"/>
        <v>104</v>
      </c>
      <c r="O57" s="66">
        <f t="shared" si="10"/>
        <v>104</v>
      </c>
      <c r="P57" s="66">
        <f>IF(D55="Freilos",0,IF(F57&lt;G57,1,IF(F57&gt;G57,1,0)))</f>
        <v>1</v>
      </c>
      <c r="Q57" s="66">
        <f>IF(D55="Freilos",0,IF(F57&lt;G57,1,IF(F57&gt;G57,1,0)))</f>
        <v>1</v>
      </c>
      <c r="R57" s="66">
        <f>IF(D55="Freilos",0,IF(F57&gt;G57,1,0))</f>
        <v>0</v>
      </c>
      <c r="S57" s="66">
        <f>IF(D55="Freilos",0,IF(G57&gt;F57,1,0))</f>
        <v>1</v>
      </c>
      <c r="T57" s="127">
        <f>IF(E57="Freilos",3,IF(F57&gt;G57,3,0))</f>
        <v>0</v>
      </c>
      <c r="U57" s="127">
        <f>IF(D57="Freilos",3,IF(G57&gt;F57,3,0))</f>
        <v>3</v>
      </c>
      <c r="V57" s="106">
        <f>IF(Auslosung_Turnierdaten!F30="","",22)</f>
        <v>22</v>
      </c>
      <c r="W57" s="107" t="str">
        <f>IF(SP32!V57="","",Auslosung_Turnierdaten!F30)</f>
        <v>Schröter, Matthias [35127]</v>
      </c>
      <c r="X57" s="107" t="str">
        <f>IF(SP32!V57="","",Auslosung_Turnierdaten!G30)</f>
        <v>1.PBC Königsbrunn</v>
      </c>
      <c r="Y57" s="107">
        <f>IF(SP32!V57="","",Auslosung_Turnierdaten!H30)</f>
        <v>0</v>
      </c>
      <c r="Z57" s="107">
        <f>IF(SP32!V57="","",Auslosung_Turnierdaten!I30)</f>
        <v>0</v>
      </c>
      <c r="AA57" s="108">
        <f>IF(SP32!V57="","",SP32!X24)</f>
        <v>6</v>
      </c>
      <c r="AB57" s="108">
        <f>IF(SP32!V57="","",SP32!Z24)</f>
        <v>2</v>
      </c>
      <c r="AC57" s="108">
        <f>IF(SP32!V57="","",SP32!AA24)</f>
        <v>2</v>
      </c>
      <c r="AD57" s="108">
        <f>IF(SP32!V57="","",SP32!AC24)</f>
        <v>233</v>
      </c>
      <c r="AE57" s="108">
        <f>IF(SP32!V57="","",IF(AE35="VSp",SP32!AD24,SP32!AF24))</f>
        <v>72</v>
      </c>
      <c r="AF57" s="109">
        <f>IF(SP32!V57="","",IF(AF35="Quot",SP32!AE24,SP32!AG24))</f>
        <v>3.236111111111111</v>
      </c>
      <c r="AG57" s="109">
        <f>IF(AG35="BED",SP32!AH24,"")</f>
        <v>5.357142857142857</v>
      </c>
      <c r="AH57" s="110">
        <f>IF(AH35="HS",SP32!AI24,"")</f>
        <v>23</v>
      </c>
      <c r="AL57" s="124"/>
      <c r="AM57" s="125"/>
      <c r="AN57" s="126"/>
      <c r="AO57" s="66">
        <f t="shared" si="21"/>
      </c>
      <c r="AQ57" s="66">
        <f>IF(OR(D55="Freilos",D56="Freilos"),1,"")</f>
      </c>
      <c r="AR57" s="179"/>
      <c r="AS57" s="179"/>
      <c r="AT57" s="180">
        <f t="shared" si="23"/>
      </c>
      <c r="AV57" s="66" t="str">
        <f>IF(AND(COUNTIF(L57:L57:L57:$L$62,L57)=1,F57+G57&gt;0),L57&amp;"-","")</f>
        <v>17-</v>
      </c>
    </row>
    <row r="58" spans="3:48" ht="11.25" thickBot="1">
      <c r="C58" s="84">
        <v>56</v>
      </c>
      <c r="D58" s="210" t="str">
        <f>IF(D50="Sieger 31","Sieger 48",IF(E50="Sieger 32","Sieger 48",IF(D50=E50,"Freilos",IF(E50="Freilos",D50,IF(D50="Freilos",E50,IF(F50&gt;G50,D50,IF(G50&gt;F50,E50,"Sieger 48")))))))</f>
        <v>Becherer, Thomas [25734]</v>
      </c>
      <c r="E58" s="211" t="str">
        <f>IF(D51="Sieger 41","Sieger 49",IF(E51="Verlierer 46","Sieger 49",IF(D51=E51,"Freilos",IF(E51="Freilos",D51,IF(D51="Freilos",E51,IF(F51&gt;G51,D51,IF(G51&gt;F51,E51,"Sieger 49")))))))</f>
        <v>Gruber, Stefan [30145]</v>
      </c>
      <c r="F58" s="230">
        <v>61</v>
      </c>
      <c r="G58" s="224">
        <v>75</v>
      </c>
      <c r="H58" s="223">
        <v>14</v>
      </c>
      <c r="I58" s="223">
        <v>15</v>
      </c>
      <c r="J58" s="223">
        <v>15</v>
      </c>
      <c r="K58" s="212">
        <v>25</v>
      </c>
      <c r="L58" s="164">
        <v>19</v>
      </c>
      <c r="M58" s="80" t="str">
        <f t="shared" si="38"/>
        <v>Becherer, Thomas [25734]</v>
      </c>
      <c r="N58" s="66">
        <f t="shared" si="9"/>
        <v>136</v>
      </c>
      <c r="O58" s="66">
        <f t="shared" si="10"/>
        <v>136</v>
      </c>
      <c r="P58" s="66">
        <f>IF(D57="Freilos",0,IF(F58&lt;G58,1,IF(F58&gt;G58,1,0)))</f>
        <v>1</v>
      </c>
      <c r="Q58" s="66">
        <f>IF(D57="Freilos",0,IF(F58&lt;G58,1,IF(F58&gt;G58,1,0)))</f>
        <v>1</v>
      </c>
      <c r="R58" s="66">
        <f>IF(D57="Freilos",0,IF(F58&gt;G58,1,0))</f>
        <v>0</v>
      </c>
      <c r="S58" s="66">
        <f>IF(D57="Freilos",0,IF(G58&gt;F58,1,0))</f>
        <v>1</v>
      </c>
      <c r="T58" s="127">
        <f>IF(E58="Freilos",3,IF(F58&gt;G58,3,0))</f>
        <v>0</v>
      </c>
      <c r="U58" s="127">
        <f>IF(D58="Freilos",3,IF(G58&gt;F58,3,0))</f>
        <v>3</v>
      </c>
      <c r="V58" s="106">
        <f>IF(Auslosung_Turnierdaten!F31="","",23)</f>
        <v>23</v>
      </c>
      <c r="W58" s="107" t="str">
        <f>IF(SP32!V58="","",Auslosung_Turnierdaten!F31)</f>
        <v>Smith, Mike jun. [31558]</v>
      </c>
      <c r="X58" s="107" t="str">
        <f>IF(SP32!V58="","",Auslosung_Turnierdaten!G31)</f>
        <v>BSC Füssen</v>
      </c>
      <c r="Y58" s="107">
        <f>IF(SP32!V58="","",Auslosung_Turnierdaten!H31)</f>
        <v>0</v>
      </c>
      <c r="Z58" s="107">
        <f>IF(SP32!V58="","",Auslosung_Turnierdaten!I31)</f>
        <v>0</v>
      </c>
      <c r="AA58" s="108">
        <f>IF(SP32!V58="","",SP32!X25)</f>
        <v>9</v>
      </c>
      <c r="AB58" s="108">
        <f>IF(SP32!V58="","",SP32!Z25)</f>
        <v>2</v>
      </c>
      <c r="AC58" s="108">
        <f>IF(SP32!V58="","",SP32!AA25)</f>
        <v>2</v>
      </c>
      <c r="AD58" s="108">
        <f>IF(SP32!V58="","",SP32!AC25)</f>
        <v>161</v>
      </c>
      <c r="AE58" s="108">
        <f>IF(SP32!V58="","",IF(AE35="VSp",SP32!AD25,SP32!AF25))</f>
        <v>35</v>
      </c>
      <c r="AF58" s="109">
        <f>IF(SP32!V58="","",IF(AF35="Quot",SP32!AE25,SP32!AG25))</f>
        <v>4.6</v>
      </c>
      <c r="AG58" s="109">
        <f>IF(AG35="BED",SP32!AH25,"")</f>
        <v>3.260869565217391</v>
      </c>
      <c r="AH58" s="110">
        <f>IF(AH35="HS",SP32!AI25,"")</f>
        <v>20</v>
      </c>
      <c r="AL58" s="124"/>
      <c r="AM58" s="125"/>
      <c r="AN58" s="126"/>
      <c r="AO58" s="66">
        <f t="shared" si="21"/>
      </c>
      <c r="AQ58" s="66">
        <f>IF(OR(D57="Freilos",D58="Freilos"),1,"")</f>
      </c>
      <c r="AR58" s="179"/>
      <c r="AS58" s="179"/>
      <c r="AT58" s="180">
        <f t="shared" si="23"/>
      </c>
      <c r="AV58" s="66">
        <f>IF(AND(COUNTIF(L58:L58:L58:$L$62,L58)=1,F58+G58&gt;0),L58&amp;"-","")</f>
      </c>
    </row>
    <row r="59" spans="2:48" ht="11.25" thickBot="1">
      <c r="B59" s="216" t="s">
        <v>148</v>
      </c>
      <c r="C59" s="72">
        <v>57</v>
      </c>
      <c r="D59" s="213" t="str">
        <f>IF(D55="Sieger 45","Sieger 53",IF(E55="Sieger 52","Sieger 53",IF(D55=E55,"Freilos",IF(D55="Freilos",E55,IF(E55="Freilos",D55,IF(F55&gt;G55,D55,IF(G55&gt;F55,E55,"Sieger 53")))))))</f>
        <v>Kuloyants, Valery [34790]</v>
      </c>
      <c r="E59" s="214" t="str">
        <f>IF(D56="Sieger 46","Sieger 54",IF(E56="Sieger 51","Sieger 54",IF(D56=E56,"Freilos",IF(D56="Freilos",E56,IF(E56="Freilos",D56,IF(F56&gt;G56,D56,IF(G56&gt;F56,E56,"Sieger 54")))))))</f>
        <v>Au-Yeung, Michael [24627]</v>
      </c>
      <c r="F59" s="228">
        <v>75</v>
      </c>
      <c r="G59" s="222">
        <v>49</v>
      </c>
      <c r="H59" s="221">
        <v>7</v>
      </c>
      <c r="I59" s="221">
        <v>6</v>
      </c>
      <c r="J59" s="221">
        <v>32</v>
      </c>
      <c r="K59" s="206">
        <v>22</v>
      </c>
      <c r="L59" s="194">
        <v>20</v>
      </c>
      <c r="M59" s="80" t="str">
        <f t="shared" si="38"/>
        <v>Au-Yeung, Michael [24627]</v>
      </c>
      <c r="N59" s="66">
        <f t="shared" si="9"/>
        <v>124</v>
      </c>
      <c r="O59" s="66">
        <f t="shared" si="10"/>
        <v>124</v>
      </c>
      <c r="P59" s="66">
        <f>IF(D59="Freilos",0,IF(F59&lt;G59,1,IF(F59&gt;G59,1,0)))</f>
        <v>1</v>
      </c>
      <c r="Q59" s="66">
        <f>IF(D59="Freilos",0,IF(F59&lt;G59,1,IF(F59&gt;G59,1,0)))</f>
        <v>1</v>
      </c>
      <c r="R59" s="66">
        <f>IF(D59="Freilos",0,IF(F59&gt;G59,1,0))</f>
        <v>1</v>
      </c>
      <c r="S59" s="66">
        <f>IF(D59="Freilos",0,IF(G59&gt;F59,1,0))</f>
        <v>0</v>
      </c>
      <c r="T59" s="127">
        <f>IF(E59="Freilos",6,IF(F59&gt;G59,3,0))</f>
        <v>3</v>
      </c>
      <c r="U59" s="127">
        <f>IF(D59="Freilos",6,IF(G59&gt;F59,3,0))</f>
        <v>0</v>
      </c>
      <c r="V59" s="106">
        <f>IF(Auslosung_Turnierdaten!F32="","",24)</f>
        <v>24</v>
      </c>
      <c r="W59" s="107" t="str">
        <f>IF(SP32!V59="","",Auslosung_Turnierdaten!F32)</f>
        <v>Kabelin, Sven [24986]</v>
      </c>
      <c r="X59" s="107" t="str">
        <f>IF(SP32!V59="","",Auslosung_Turnierdaten!G32)</f>
        <v>BC Haunstetten</v>
      </c>
      <c r="Y59" s="107">
        <f>IF(SP32!V59="","",Auslosung_Turnierdaten!H32)</f>
        <v>0</v>
      </c>
      <c r="Z59" s="107">
        <f>IF(SP32!V59="","",Auslosung_Turnierdaten!I32)</f>
        <v>0</v>
      </c>
      <c r="AA59" s="108">
        <f>IF(SP32!V59="","",SP32!X26)</f>
        <v>3</v>
      </c>
      <c r="AB59" s="108">
        <f>IF(SP32!V59="","",SP32!Z26)</f>
        <v>1</v>
      </c>
      <c r="AC59" s="108">
        <f>IF(SP32!V59="","",SP32!AA26)</f>
        <v>2</v>
      </c>
      <c r="AD59" s="108">
        <f>IF(SP32!V59="","",SP32!AC26)</f>
        <v>206</v>
      </c>
      <c r="AE59" s="108">
        <f>IF(SP32!V59="","",IF(AE35="VSp",SP32!AD26,SP32!AF26))</f>
        <v>54</v>
      </c>
      <c r="AF59" s="109">
        <f>IF(SP32!V59="","",IF(AF35="Quot",SP32!AE26,SP32!AG26))</f>
        <v>3.814814814814815</v>
      </c>
      <c r="AG59" s="109">
        <f>IF(AG35="BED",SP32!AH26,"")</f>
        <v>2.6785714285714284</v>
      </c>
      <c r="AH59" s="110">
        <f>IF(AH35="HS",SP32!AI26,"")</f>
        <v>27</v>
      </c>
      <c r="AL59" s="124"/>
      <c r="AM59" s="125"/>
      <c r="AN59" s="126"/>
      <c r="AO59" s="66">
        <f t="shared" si="21"/>
      </c>
      <c r="AQ59" s="66">
        <f>IF(OR(D59="Freilos",E59="Freilos"),1,"")</f>
      </c>
      <c r="AR59" s="179"/>
      <c r="AS59" s="179"/>
      <c r="AT59" s="180">
        <f t="shared" si="23"/>
      </c>
      <c r="AV59" s="66" t="str">
        <f>IF(AND(COUNTIF(L59:L59:L59:$L$62,L59)=1,F59+G59&gt;0),L59&amp;"-","")</f>
        <v>20-</v>
      </c>
    </row>
    <row r="60" spans="3:48" ht="11.25" thickBot="1">
      <c r="C60" s="72">
        <v>58</v>
      </c>
      <c r="D60" s="210" t="str">
        <f>IF(D57="Sieger 47","Sieger 55",IF(E57="Sieger 50","Sieger 55",IF(D57=E57,"Freilos",IF(D57="Freilos",E57,IF(E57="Freilos",D57,IF(F57&gt;G57,D57,IF(G57&gt;F57,E57,"Sieger 55")))))))</f>
        <v>Heimmerer, Benjamin [34073]</v>
      </c>
      <c r="E60" s="215" t="str">
        <f>IF(D58="Sieger 48","Sieger 56",IF(E58="Sieger 49","Sieger 56",IF(D58=E58,"Freilos",IF(D58="Freilos",E58,IF(E58="Freilos",D58,IF(F58&gt;G58,D58,IF(G58&gt;F58,E58,"Sieger 56")))))))</f>
        <v>Gruber, Stefan [30145]</v>
      </c>
      <c r="F60" s="230">
        <v>75</v>
      </c>
      <c r="G60" s="224">
        <v>2</v>
      </c>
      <c r="H60" s="223">
        <v>4</v>
      </c>
      <c r="I60" s="223">
        <v>3</v>
      </c>
      <c r="J60" s="223">
        <v>37</v>
      </c>
      <c r="K60" s="212">
        <v>2</v>
      </c>
      <c r="L60" s="199">
        <v>19</v>
      </c>
      <c r="M60" s="80" t="str">
        <f t="shared" si="38"/>
        <v>Gruber, Stefan [30145]</v>
      </c>
      <c r="N60" s="66">
        <f t="shared" si="9"/>
        <v>77</v>
      </c>
      <c r="O60" s="66">
        <f t="shared" si="10"/>
        <v>77</v>
      </c>
      <c r="P60" s="66">
        <f t="shared" si="11"/>
        <v>1</v>
      </c>
      <c r="Q60" s="66">
        <f t="shared" si="24"/>
        <v>1</v>
      </c>
      <c r="R60" s="66">
        <f t="shared" si="12"/>
        <v>1</v>
      </c>
      <c r="S60" s="66">
        <f t="shared" si="13"/>
        <v>0</v>
      </c>
      <c r="T60" s="127">
        <f>IF(E60="Freilos",6,IF(F60&gt;G60,3,0))</f>
        <v>3</v>
      </c>
      <c r="U60" s="127">
        <f>IF(D60="Freilos",6,IF(G60&gt;F60,6,0))</f>
        <v>0</v>
      </c>
      <c r="V60" s="106">
        <f>IF(Auslosung_Turnierdaten!F33="","",25)</f>
        <v>25</v>
      </c>
      <c r="W60" s="107" t="str">
        <f>IF(SP32!V60="","",Auslosung_Turnierdaten!F33)</f>
        <v>Caranica, Philipp [32781]</v>
      </c>
      <c r="X60" s="107" t="str">
        <f>IF(SP32!V60="","",Auslosung_Turnierdaten!G33)</f>
        <v>PBC München-West</v>
      </c>
      <c r="Y60" s="107">
        <f>IF(SP32!V60="","",Auslosung_Turnierdaten!H33)</f>
        <v>0</v>
      </c>
      <c r="Z60" s="107">
        <f>IF(SP32!V60="","",Auslosung_Turnierdaten!I33)</f>
        <v>0</v>
      </c>
      <c r="AA60" s="108">
        <f>IF(SP32!V60="","",SP32!X27)</f>
        <v>3</v>
      </c>
      <c r="AB60" s="108">
        <f>IF(SP32!V60="","",SP32!Z27)</f>
        <v>1</v>
      </c>
      <c r="AC60" s="108">
        <f>IF(SP32!V60="","",SP32!AA27)</f>
        <v>2</v>
      </c>
      <c r="AD60" s="108">
        <f>IF(SP32!V60="","",SP32!AC27)</f>
        <v>124</v>
      </c>
      <c r="AE60" s="108">
        <f>IF(SP32!V60="","",IF(AE35="VSp",SP32!AD27,SP32!AF27))</f>
        <v>26</v>
      </c>
      <c r="AF60" s="109">
        <f>IF(SP32!V60="","",IF(AF35="Quot",SP32!AE27,SP32!AG27))</f>
        <v>4.769230769230769</v>
      </c>
      <c r="AG60" s="109">
        <f>IF(AG35="BED",SP32!AH27,"")</f>
        <v>6.818181818181818</v>
      </c>
      <c r="AH60" s="110">
        <f>IF(AH35="HS",SP32!AI27,"")</f>
        <v>24</v>
      </c>
      <c r="AL60" s="124"/>
      <c r="AM60" s="125"/>
      <c r="AN60" s="126"/>
      <c r="AO60" s="66">
        <f t="shared" si="21"/>
      </c>
      <c r="AQ60" s="66">
        <f t="shared" si="22"/>
      </c>
      <c r="AR60" s="179"/>
      <c r="AS60" s="179"/>
      <c r="AT60" s="180">
        <f t="shared" si="23"/>
      </c>
      <c r="AV60" s="66">
        <f>IF(AND(COUNTIF(L60:L60:L60:$L$62,L60)=1,F60+G60&gt;0),L60&amp;"-","")</f>
      </c>
    </row>
    <row r="61" spans="2:48" ht="9.75" hidden="1" thickBot="1">
      <c r="B61" s="216" t="s">
        <v>155</v>
      </c>
      <c r="C61" s="72" t="s">
        <v>180</v>
      </c>
      <c r="D61" s="210" t="str">
        <f>IF(D59="Sieger 53","Verlierer 57",IF(E59="Sieger 54","Verlierer 57",IF(D59=E59,"Freilos",IF(E59="Freilos",E59,IF(D59="Freilos",D59,IF(F59&gt;G59,E59,IF(G59&gt;F59,D59,"Verlierer 57")))))))</f>
        <v>Au-Yeung, Michael [24627]</v>
      </c>
      <c r="E61" s="215" t="str">
        <f>IF(D60="Sieger 55","Verlierer 58",IF(E60="Sieger 56","Verlierer 58",IF(D60=E60,"Freilos",IF(D60="Freilos",D60,IF(E60="Freilos",E60,IF(F60&gt;G60,E60,IF(G60&gt;F60,D60,"Verlierer 58")))))))</f>
        <v>Gruber, Stefan [30145]</v>
      </c>
      <c r="F61" s="281"/>
      <c r="G61" s="282"/>
      <c r="H61" s="283"/>
      <c r="I61" s="283"/>
      <c r="J61" s="283"/>
      <c r="K61" s="284"/>
      <c r="L61" s="285"/>
      <c r="M61" s="80">
        <f t="shared" si="38"/>
      </c>
      <c r="N61" s="66">
        <f t="shared" si="9"/>
        <v>0</v>
      </c>
      <c r="O61" s="66">
        <f t="shared" si="10"/>
        <v>0</v>
      </c>
      <c r="P61" s="66">
        <f t="shared" si="11"/>
        <v>0</v>
      </c>
      <c r="Q61" s="66">
        <f t="shared" si="24"/>
        <v>0</v>
      </c>
      <c r="R61" s="66">
        <f t="shared" si="12"/>
        <v>0</v>
      </c>
      <c r="S61" s="66">
        <f t="shared" si="13"/>
        <v>0</v>
      </c>
      <c r="T61" s="127">
        <f t="shared" si="14"/>
        <v>0</v>
      </c>
      <c r="U61" s="127">
        <f t="shared" si="15"/>
        <v>0</v>
      </c>
      <c r="V61" s="106">
        <f>IF(Auslosung_Turnierdaten!F34="","",26)</f>
        <v>26</v>
      </c>
      <c r="W61" s="107" t="str">
        <f>IF(SP32!V61="","",Auslosung_Turnierdaten!F34)</f>
        <v>Reutter, Harald [20274]</v>
      </c>
      <c r="X61" s="107" t="str">
        <f>IF(SP32!V61="","",Auslosung_Turnierdaten!G34)</f>
        <v>1.BSV Elchingen</v>
      </c>
      <c r="Y61" s="107">
        <f>IF(SP32!V61="","",Auslosung_Turnierdaten!H34)</f>
        <v>0</v>
      </c>
      <c r="Z61" s="107">
        <f>IF(SP32!V61="","",Auslosung_Turnierdaten!I34)</f>
        <v>0</v>
      </c>
      <c r="AA61" s="108">
        <f>IF(SP32!V61="","",SP32!X28)</f>
        <v>6</v>
      </c>
      <c r="AB61" s="108">
        <f>IF(SP32!V61="","",SP32!Z28)</f>
        <v>2</v>
      </c>
      <c r="AC61" s="108">
        <f>IF(SP32!V61="","",SP32!AA28)</f>
        <v>2</v>
      </c>
      <c r="AD61" s="108">
        <f>IF(SP32!V61="","",SP32!AC28)</f>
        <v>253</v>
      </c>
      <c r="AE61" s="108">
        <f>IF(SP32!V61="","",IF(AE35="VSp",SP32!AD28,SP32!AF28))</f>
        <v>90</v>
      </c>
      <c r="AF61" s="109">
        <f>IF(SP32!V61="","",IF(AF35="Quot",SP32!AE28,SP32!AG28))</f>
        <v>2.811111111111111</v>
      </c>
      <c r="AG61" s="109">
        <f>IF(AG35="BED",SP32!AH28,"")</f>
        <v>3.9473684210526314</v>
      </c>
      <c r="AH61" s="110">
        <f>IF(AH35="HS",SP32!AI28,"")</f>
        <v>25</v>
      </c>
      <c r="AL61" s="124"/>
      <c r="AM61" s="125"/>
      <c r="AN61" s="126"/>
      <c r="AO61" s="66">
        <f t="shared" si="21"/>
        <v>0</v>
      </c>
      <c r="AQ61" s="66">
        <f t="shared" si="22"/>
      </c>
      <c r="AR61" s="179">
        <v>0.5136111111111111</v>
      </c>
      <c r="AS61" s="179"/>
      <c r="AT61" s="180">
        <f t="shared" si="23"/>
      </c>
      <c r="AV61" s="66">
        <f>IF(AND(COUNTIF(L61:L61:L61:$L$62,L61)=1,F61+G61&gt;0),L61&amp;"-","")</f>
      </c>
    </row>
    <row r="62" spans="2:48" ht="11.25" thickBot="1">
      <c r="B62" s="216" t="s">
        <v>149</v>
      </c>
      <c r="C62" s="72">
        <v>59</v>
      </c>
      <c r="D62" s="217" t="str">
        <f>IF(D59="Sieger 53","Sieger 57",IF(E59="Verlierer 55","Sieger 57",IF(D59=E59,"Freilos",IF(E59="Freilos",D59,IF(D59="Freilos",E59,IF(F59&gt;G59,D59,IF(G59&gt;F59,E59,"Sieger 57")))))))</f>
        <v>Kuloyants, Valery [34790]</v>
      </c>
      <c r="E62" s="218" t="str">
        <f>IF(D60="Sieger 54","Sieger 58",IF(E60="Verlierer 56","Sieger 58",IF(D60=E60,"Freilos",IF(E60="Freilos",D60,IF(D60="Freilos",E60,IF(F60&gt;G60,D60,IF(G60&gt;F60,E60,"Sieger 58")))))))</f>
        <v>Heimmerer, Benjamin [34073]</v>
      </c>
      <c r="F62" s="219">
        <v>70</v>
      </c>
      <c r="G62" s="226">
        <v>75</v>
      </c>
      <c r="H62" s="231">
        <v>9</v>
      </c>
      <c r="I62" s="231">
        <v>10</v>
      </c>
      <c r="J62" s="231">
        <v>24</v>
      </c>
      <c r="K62" s="220">
        <v>25</v>
      </c>
      <c r="L62" s="178">
        <v>19</v>
      </c>
      <c r="M62" s="80" t="str">
        <f t="shared" si="38"/>
        <v>Kuloyants, Valery [34790]</v>
      </c>
      <c r="N62" s="66">
        <f t="shared" si="9"/>
        <v>145</v>
      </c>
      <c r="O62" s="66">
        <f t="shared" si="10"/>
        <v>145</v>
      </c>
      <c r="P62" s="66">
        <f t="shared" si="11"/>
        <v>1</v>
      </c>
      <c r="Q62" s="66">
        <f t="shared" si="24"/>
        <v>1</v>
      </c>
      <c r="R62" s="66">
        <f t="shared" si="12"/>
        <v>0</v>
      </c>
      <c r="S62" s="66">
        <f t="shared" si="13"/>
        <v>1</v>
      </c>
      <c r="T62" s="127">
        <f t="shared" si="14"/>
        <v>0</v>
      </c>
      <c r="U62" s="127">
        <f>IF(D62="Freilos",3,IF(G62&gt;F62,3,0))</f>
        <v>3</v>
      </c>
      <c r="V62" s="106">
        <f>IF(Auslosung_Turnierdaten!F35="","",27)</f>
        <v>27</v>
      </c>
      <c r="W62" s="107" t="str">
        <f>IF(SP32!V62="","",Auslosung_Turnierdaten!F35)</f>
        <v>Hirschbichler, Robert [22548]</v>
      </c>
      <c r="X62" s="107" t="str">
        <f>IF(SP32!V62="","",Auslosung_Turnierdaten!G35)</f>
        <v>PBSC Donauwörth</v>
      </c>
      <c r="Y62" s="107">
        <f>IF(SP32!V62="","",Auslosung_Turnierdaten!H35)</f>
        <v>0</v>
      </c>
      <c r="Z62" s="107">
        <f>IF(SP32!V62="","",Auslosung_Turnierdaten!I35)</f>
        <v>0</v>
      </c>
      <c r="AA62" s="108">
        <f>IF(SP32!V62="","",SP32!X29)</f>
        <v>12</v>
      </c>
      <c r="AB62" s="108">
        <f>IF(SP32!V62="","",SP32!Z29)</f>
        <v>3</v>
      </c>
      <c r="AC62" s="108">
        <f>IF(SP32!V62="","",SP32!AA29)</f>
        <v>1</v>
      </c>
      <c r="AD62" s="108">
        <f>IF(SP32!V62="","",SP32!AC29)</f>
        <v>259</v>
      </c>
      <c r="AE62" s="108">
        <f>IF(SP32!V62="","",IF(AE35="VSp",SP32!AD29,SP32!AF29))</f>
        <v>28</v>
      </c>
      <c r="AF62" s="109">
        <f>IF(SP32!V62="","",IF(AF35="Quot",SP32!AE29,SP32!AG29))</f>
        <v>9.25</v>
      </c>
      <c r="AG62" s="109">
        <f>IF(AG35="BED",SP32!AH29,"")</f>
        <v>12.5</v>
      </c>
      <c r="AH62" s="110">
        <f>IF(AH35="HS",SP32!AI29,"")</f>
        <v>43</v>
      </c>
      <c r="AL62" s="124"/>
      <c r="AM62" s="125"/>
      <c r="AN62" s="126"/>
      <c r="AO62" s="66">
        <f t="shared" si="21"/>
      </c>
      <c r="AQ62" s="66">
        <f t="shared" si="22"/>
      </c>
      <c r="AR62" s="179"/>
      <c r="AS62" s="179"/>
      <c r="AT62" s="180">
        <f t="shared" si="23"/>
      </c>
      <c r="AV62" s="66" t="str">
        <f>IF(AND(COUNTIF(L62:L62:L62:$L$62,L62)=1,F62+G62&gt;0),L62&amp;"-","")</f>
        <v>19-</v>
      </c>
    </row>
    <row r="63" spans="20:40" ht="10.5">
      <c r="T63" s="127"/>
      <c r="U63" s="127"/>
      <c r="V63" s="106">
        <f>IF(Auslosung_Turnierdaten!F36="","",28)</f>
        <v>28</v>
      </c>
      <c r="W63" s="107" t="str">
        <f>IF(SP32!V63="","",Auslosung_Turnierdaten!F36)</f>
        <v>Volkert, Frank [37753]</v>
      </c>
      <c r="X63" s="107" t="str">
        <f>IF(SP32!V63="","",Auslosung_Turnierdaten!G36)</f>
        <v>Fürstenfeldbruck</v>
      </c>
      <c r="Y63" s="107">
        <f>IF(SP32!V63="","",Auslosung_Turnierdaten!H36)</f>
        <v>0</v>
      </c>
      <c r="Z63" s="107">
        <f>IF(SP32!V63="","",Auslosung_Turnierdaten!I36)</f>
        <v>0</v>
      </c>
      <c r="AA63" s="108">
        <f>IF(SP32!V63="","",SP32!X30)</f>
        <v>0</v>
      </c>
      <c r="AB63" s="108">
        <f>IF(SP32!V63="","",SP32!Z30)</f>
        <v>0</v>
      </c>
      <c r="AC63" s="108">
        <f>IF(SP32!V63="","",SP32!AA30)</f>
        <v>2</v>
      </c>
      <c r="AD63" s="108">
        <f>IF(SP32!V63="","",SP32!AC30)</f>
        <v>111</v>
      </c>
      <c r="AE63" s="108">
        <f>IF(SP32!V63="","",IF(AE35="VSp",SP32!AD30,SP32!AF30))</f>
        <v>74</v>
      </c>
      <c r="AF63" s="109">
        <f>IF(SP32!V63="","",IF(AF35="Quot",SP32!AE30,SP32!AG30))</f>
        <v>1.5</v>
      </c>
      <c r="AG63" s="109">
        <f>IF(AG35="BED",SP32!AH30,"")</f>
        <v>0</v>
      </c>
      <c r="AH63" s="110">
        <f>IF(AH35="HS",SP32!AI30,"")</f>
        <v>11</v>
      </c>
      <c r="AL63" s="124"/>
      <c r="AM63" s="125"/>
      <c r="AN63" s="126"/>
    </row>
    <row r="64" spans="20:40" ht="10.5">
      <c r="T64" s="127"/>
      <c r="U64" s="127"/>
      <c r="V64" s="106">
        <f>IF(Auslosung_Turnierdaten!F37="","",29)</f>
        <v>29</v>
      </c>
      <c r="W64" s="107" t="str">
        <f>IF(SP32!V64="","",Auslosung_Turnierdaten!F37)</f>
        <v>Dingler, Christian [20927]</v>
      </c>
      <c r="X64" s="107" t="str">
        <f>IF(SP32!V64="","",Auslosung_Turnierdaten!G37)</f>
        <v>PBC München-West</v>
      </c>
      <c r="Y64" s="107">
        <f>IF(SP32!V64="","",Auslosung_Turnierdaten!H37)</f>
        <v>0</v>
      </c>
      <c r="Z64" s="107">
        <f>IF(SP32!V64="","",Auslosung_Turnierdaten!I37)</f>
        <v>0</v>
      </c>
      <c r="AA64" s="108">
        <f>IF(SP32!V64="","",SP32!X31)</f>
        <v>9</v>
      </c>
      <c r="AB64" s="108">
        <f>IF(SP32!V64="","",SP32!Z31)</f>
        <v>2</v>
      </c>
      <c r="AC64" s="108">
        <f>IF(SP32!V64="","",SP32!AA31)</f>
        <v>2</v>
      </c>
      <c r="AD64" s="108">
        <f>IF(SP32!V64="","",SP32!AC31)</f>
        <v>222</v>
      </c>
      <c r="AE64" s="108">
        <f>IF(SP32!V64="","",IF(AE35="VSp",SP32!AD31,SP32!AF31))</f>
        <v>56</v>
      </c>
      <c r="AF64" s="109">
        <f>IF(SP32!V64="","",IF(AF35="Quot",SP32!AE31,SP32!AG31))</f>
        <v>3.9642857142857144</v>
      </c>
      <c r="AG64" s="109">
        <f>IF(AG35="BED",SP32!AH31,"")</f>
        <v>5.357142857142857</v>
      </c>
      <c r="AH64" s="110">
        <f>IF(AH35="HS",SP32!AI31,"")</f>
        <v>29</v>
      </c>
      <c r="AL64" s="124"/>
      <c r="AM64" s="125"/>
      <c r="AN64" s="126"/>
    </row>
    <row r="65" spans="20:40" ht="10.5">
      <c r="T65" s="127"/>
      <c r="U65" s="127"/>
      <c r="V65" s="106">
        <f>IF(Auslosung_Turnierdaten!F38="","",30)</f>
        <v>30</v>
      </c>
      <c r="W65" s="107" t="str">
        <f>IF(SP32!V65="","",Auslosung_Turnierdaten!F38)</f>
        <v>Scholz, Federico [34523]</v>
      </c>
      <c r="X65" s="107" t="str">
        <f>IF(SP32!V65="","",Auslosung_Turnierdaten!G38)</f>
        <v>PBC Mindelheim</v>
      </c>
      <c r="Y65" s="107">
        <f>IF(SP32!V65="","",Auslosung_Turnierdaten!H38)</f>
        <v>0</v>
      </c>
      <c r="Z65" s="107">
        <f>IF(SP32!V65="","",Auslosung_Turnierdaten!I38)</f>
        <v>0</v>
      </c>
      <c r="AA65" s="108">
        <f>IF(SP32!V65="","",SP32!X32)</f>
        <v>3</v>
      </c>
      <c r="AB65" s="108">
        <f>IF(SP32!V65="","",SP32!Z32)</f>
        <v>1</v>
      </c>
      <c r="AC65" s="108">
        <f>IF(SP32!V65="","",SP32!AA32)</f>
        <v>2</v>
      </c>
      <c r="AD65" s="108">
        <f>IF(SP32!V65="","",SP32!AC32)</f>
        <v>163</v>
      </c>
      <c r="AE65" s="108">
        <f>IF(SP32!V65="","",IF(AE35="VSp",SP32!AD32,SP32!AF32))</f>
        <v>39</v>
      </c>
      <c r="AF65" s="109">
        <f>IF(SP32!V65="","",IF(AF35="Quot",SP32!AE32,SP32!AG32))</f>
        <v>4.17948717948718</v>
      </c>
      <c r="AG65" s="109">
        <f>IF(AG35="BED",SP32!AH32,"")</f>
        <v>5</v>
      </c>
      <c r="AH65" s="110">
        <f>IF(AH35="HS",SP32!AI32,"")</f>
        <v>29</v>
      </c>
      <c r="AL65" s="124"/>
      <c r="AM65" s="125"/>
      <c r="AN65" s="126"/>
    </row>
    <row r="66" spans="22:40" ht="10.5">
      <c r="V66" s="106">
        <f>IF(Auslosung_Turnierdaten!F39="","",31)</f>
        <v>31</v>
      </c>
      <c r="W66" s="107" t="str">
        <f>IF(SP32!V66="","",Auslosung_Turnierdaten!F39)</f>
        <v>Mayr, Stefan [14899]</v>
      </c>
      <c r="X66" s="107" t="str">
        <f>IF(SP32!V66="","",Auslosung_Turnierdaten!G39)</f>
        <v>PBC Lauingen</v>
      </c>
      <c r="Y66" s="107">
        <f>IF(SP32!V66="","",Auslosung_Turnierdaten!H39)</f>
        <v>0</v>
      </c>
      <c r="Z66" s="107">
        <f>IF(SP32!V66="","",Auslosung_Turnierdaten!I39)</f>
        <v>0</v>
      </c>
      <c r="AA66" s="108">
        <f>IF(SP32!V66="","",SP32!X33)</f>
        <v>0</v>
      </c>
      <c r="AB66" s="108">
        <f>IF(SP32!V66="","",SP32!Z33)</f>
        <v>0</v>
      </c>
      <c r="AC66" s="108">
        <f>IF(SP32!V66="","",SP32!AA33)</f>
        <v>2</v>
      </c>
      <c r="AD66" s="108">
        <f>IF(SP32!V66="","",SP32!AC33)</f>
        <v>59</v>
      </c>
      <c r="AE66" s="108">
        <f>IF(SP32!V66="","",IF(AE35="VSp",SP32!AD33,SP32!AF33))</f>
        <v>19</v>
      </c>
      <c r="AF66" s="109">
        <f>IF(SP32!V66="","",IF(AF35="Quot",SP32!AE33,SP32!AG33))</f>
        <v>3.1052631578947367</v>
      </c>
      <c r="AG66" s="109">
        <f>IF(AG35="BED",SP32!AH33,"")</f>
        <v>0</v>
      </c>
      <c r="AH66" s="110">
        <f>IF(AH35="HS",SP32!AI33,"")</f>
        <v>10</v>
      </c>
      <c r="AL66" s="124"/>
      <c r="AM66" s="125"/>
      <c r="AN66" s="126"/>
    </row>
    <row r="67" spans="22:40" ht="11.25" thickBot="1">
      <c r="V67" s="112">
        <f>IF(Auslosung_Turnierdaten!F40="","",32)</f>
        <v>32</v>
      </c>
      <c r="W67" s="113" t="str">
        <f>IF(SP32!V67="","",Auslosung_Turnierdaten!F40)</f>
        <v>Guggemos, Florian [37921]</v>
      </c>
      <c r="X67" s="113" t="str">
        <f>IF(SP32!V67="","",Auslosung_Turnierdaten!G40)</f>
        <v>BSC Füssen</v>
      </c>
      <c r="Y67" s="113">
        <f>IF(SP32!V67="","",Auslosung_Turnierdaten!H40)</f>
        <v>0</v>
      </c>
      <c r="Z67" s="113">
        <f>IF(SP32!V67="","",Auslosung_Turnierdaten!I40)</f>
        <v>0</v>
      </c>
      <c r="AA67" s="114">
        <f>IF(SP32!V67="","",SP32!X34)</f>
        <v>0</v>
      </c>
      <c r="AB67" s="114">
        <f>IF(SP32!V67="","",SP32!Z34)</f>
        <v>0</v>
      </c>
      <c r="AC67" s="114">
        <f>IF(SP32!V67="","",SP32!AA34)</f>
        <v>2</v>
      </c>
      <c r="AD67" s="114">
        <f>IF(SP32!V67="","",SP32!AC34)</f>
        <v>96</v>
      </c>
      <c r="AE67" s="114">
        <f>IF(SP32!V67="","",IF(AE35="VSp",SP32!AD34,SP32!AF34))</f>
        <v>47</v>
      </c>
      <c r="AF67" s="115">
        <f>IF(SP32!V67="","",IF(AF35="Quot",SP32!AE34,SP32!AG34))</f>
        <v>2.0425531914893615</v>
      </c>
      <c r="AG67" s="115">
        <f>IF(AG35="BED",SP32!AH34,"")</f>
        <v>0</v>
      </c>
      <c r="AH67" s="116">
        <f>IF(AH35="HS",SP32!AI34,"")</f>
        <v>13</v>
      </c>
      <c r="AL67" s="129"/>
      <c r="AM67" s="130"/>
      <c r="AN67" s="131"/>
    </row>
    <row r="68" ht="10.5"/>
    <row r="69" ht="10.5"/>
    <row r="70" spans="8:10" ht="10.5">
      <c r="H70" s="200"/>
      <c r="I70" s="200"/>
      <c r="J70" s="200">
        <f>MAX(J71:J86)</f>
        <v>0</v>
      </c>
    </row>
    <row r="71" spans="8:10" ht="10.5">
      <c r="H71" s="200">
        <v>1</v>
      </c>
      <c r="I71" s="200" t="str">
        <f>IF(Auslosung_Turnierdaten!M9="","öüä",Auslosung_Turnierdaten!M9)</f>
        <v>öüä</v>
      </c>
      <c r="J71" s="200">
        <f aca="true" t="shared" si="39" ref="J71:J86">COUNTIF(L$3:L$62,I71)-SUMIF(L$3:L$62,I71,P$3:P$33)</f>
        <v>0</v>
      </c>
    </row>
    <row r="72" spans="8:10" ht="10.5">
      <c r="H72" s="200">
        <v>2</v>
      </c>
      <c r="I72" s="200" t="str">
        <f>IF(Auslosung_Turnierdaten!M10="","öüä",Auslosung_Turnierdaten!M10)</f>
        <v>öüä</v>
      </c>
      <c r="J72" s="200">
        <f t="shared" si="39"/>
        <v>0</v>
      </c>
    </row>
    <row r="73" spans="8:10" ht="10.5">
      <c r="H73" s="200">
        <v>3</v>
      </c>
      <c r="I73" s="200" t="str">
        <f>IF(Auslosung_Turnierdaten!M11="","öüä",Auslosung_Turnierdaten!M11)</f>
        <v>öüä</v>
      </c>
      <c r="J73" s="200">
        <f t="shared" si="39"/>
        <v>0</v>
      </c>
    </row>
    <row r="74" spans="8:10" ht="10.5">
      <c r="H74" s="200">
        <v>4</v>
      </c>
      <c r="I74" s="200" t="str">
        <f>IF(Auslosung_Turnierdaten!M12="","öüä",Auslosung_Turnierdaten!M12)</f>
        <v>öüä</v>
      </c>
      <c r="J74" s="200">
        <f t="shared" si="39"/>
        <v>0</v>
      </c>
    </row>
    <row r="75" spans="8:10" ht="10.5">
      <c r="H75" s="200">
        <v>5</v>
      </c>
      <c r="I75" s="200" t="str">
        <f>IF(Auslosung_Turnierdaten!M13="","öüä",Auslosung_Turnierdaten!M13)</f>
        <v>öüä</v>
      </c>
      <c r="J75" s="200">
        <f t="shared" si="39"/>
        <v>0</v>
      </c>
    </row>
    <row r="76" spans="8:10" ht="10.5">
      <c r="H76" s="200">
        <v>6</v>
      </c>
      <c r="I76" s="200" t="str">
        <f>IF(Auslosung_Turnierdaten!M14="","öüä",Auslosung_Turnierdaten!M14)</f>
        <v>öüä</v>
      </c>
      <c r="J76" s="200">
        <f t="shared" si="39"/>
        <v>0</v>
      </c>
    </row>
    <row r="77" spans="8:10" ht="10.5">
      <c r="H77" s="200">
        <v>7</v>
      </c>
      <c r="I77" s="200" t="str">
        <f>IF(Auslosung_Turnierdaten!M15="","öüä",Auslosung_Turnierdaten!M15)</f>
        <v>öüä</v>
      </c>
      <c r="J77" s="200">
        <f t="shared" si="39"/>
        <v>0</v>
      </c>
    </row>
    <row r="78" spans="8:10" ht="10.5">
      <c r="H78" s="200">
        <v>8</v>
      </c>
      <c r="I78" s="200" t="str">
        <f>IF(Auslosung_Turnierdaten!M16="","öüä",Auslosung_Turnierdaten!M16)</f>
        <v>öüä</v>
      </c>
      <c r="J78" s="200">
        <f t="shared" si="39"/>
        <v>0</v>
      </c>
    </row>
    <row r="79" spans="8:10" ht="10.5">
      <c r="H79" s="200">
        <v>9</v>
      </c>
      <c r="I79" s="200" t="str">
        <f>IF(Auslosung_Turnierdaten!M17="","öüä",Auslosung_Turnierdaten!M17)</f>
        <v>öüä</v>
      </c>
      <c r="J79" s="200">
        <f t="shared" si="39"/>
        <v>0</v>
      </c>
    </row>
    <row r="80" spans="8:10" ht="10.5">
      <c r="H80" s="200">
        <v>10</v>
      </c>
      <c r="I80" s="200" t="str">
        <f>IF(Auslosung_Turnierdaten!M18="","öüä",Auslosung_Turnierdaten!M18)</f>
        <v>öüä</v>
      </c>
      <c r="J80" s="200">
        <f t="shared" si="39"/>
        <v>0</v>
      </c>
    </row>
    <row r="81" spans="8:10" ht="10.5">
      <c r="H81" s="200">
        <v>11</v>
      </c>
      <c r="I81" s="200" t="str">
        <f>IF(Auslosung_Turnierdaten!M19="","öüä",Auslosung_Turnierdaten!M19)</f>
        <v>öüä</v>
      </c>
      <c r="J81" s="200">
        <f t="shared" si="39"/>
        <v>0</v>
      </c>
    </row>
    <row r="82" spans="8:10" ht="10.5">
      <c r="H82" s="200">
        <v>12</v>
      </c>
      <c r="I82" s="200" t="str">
        <f>IF(Auslosung_Turnierdaten!M20="","öüä",Auslosung_Turnierdaten!M20)</f>
        <v>öüä</v>
      </c>
      <c r="J82" s="200">
        <f t="shared" si="39"/>
        <v>0</v>
      </c>
    </row>
    <row r="83" spans="8:10" ht="10.5">
      <c r="H83" s="200">
        <v>13</v>
      </c>
      <c r="I83" s="200" t="str">
        <f>IF(Auslosung_Turnierdaten!M21="","öüä",Auslosung_Turnierdaten!M21)</f>
        <v>öüä</v>
      </c>
      <c r="J83" s="200">
        <f t="shared" si="39"/>
        <v>0</v>
      </c>
    </row>
    <row r="84" spans="8:10" ht="10.5">
      <c r="H84" s="200">
        <v>14</v>
      </c>
      <c r="I84" s="200" t="str">
        <f>IF(Auslosung_Turnierdaten!M22="","öüä",Auslosung_Turnierdaten!M22)</f>
        <v>öüä</v>
      </c>
      <c r="J84" s="200">
        <f t="shared" si="39"/>
        <v>0</v>
      </c>
    </row>
    <row r="85" spans="8:10" ht="10.5">
      <c r="H85" s="200">
        <v>15</v>
      </c>
      <c r="I85" s="200" t="str">
        <f>IF(Auslosung_Turnierdaten!M23="","öüä",Auslosung_Turnierdaten!M23)</f>
        <v>öüä</v>
      </c>
      <c r="J85" s="200">
        <f t="shared" si="39"/>
        <v>0</v>
      </c>
    </row>
    <row r="86" spans="8:10" ht="10.5">
      <c r="H86" s="200">
        <v>16</v>
      </c>
      <c r="I86" s="200" t="str">
        <f>IF(Auslosung_Turnierdaten!M24="","öüä",Auslosung_Turnierdaten!M24)</f>
        <v>öüä</v>
      </c>
      <c r="J86" s="200">
        <f t="shared" si="39"/>
        <v>0</v>
      </c>
    </row>
    <row r="98" ht="10.5"/>
    <row r="99" ht="10.5"/>
    <row r="100" ht="10.5"/>
  </sheetData>
  <sheetProtection selectLockedCells="1"/>
  <conditionalFormatting sqref="L3">
    <cfRule type="expression" priority="1" dxfId="2" stopIfTrue="1">
      <formula>T3+U3&gt;0</formula>
    </cfRule>
    <cfRule type="expression" priority="2" dxfId="0" stopIfTrue="1">
      <formula>D3="Spieler 1"</formula>
    </cfRule>
    <cfRule type="expression" priority="3" dxfId="0" stopIfTrue="1">
      <formula>E3="Spieler 17"</formula>
    </cfRule>
  </conditionalFormatting>
  <conditionalFormatting sqref="AR3:AR62">
    <cfRule type="expression" priority="4" dxfId="177" stopIfTrue="1">
      <formula>L3=""</formula>
    </cfRule>
    <cfRule type="expression" priority="5" dxfId="2" stopIfTrue="1">
      <formula>F3+G3&gt;0</formula>
    </cfRule>
    <cfRule type="expression" priority="6" dxfId="183" stopIfTrue="1">
      <formula>AR3=""</formula>
    </cfRule>
  </conditionalFormatting>
  <conditionalFormatting sqref="AS3:AS62">
    <cfRule type="expression" priority="7" dxfId="177" stopIfTrue="1">
      <formula>L3=""</formula>
    </cfRule>
    <cfRule type="expression" priority="8" dxfId="2" stopIfTrue="1">
      <formula>AS3&gt;0</formula>
    </cfRule>
    <cfRule type="expression" priority="9" dxfId="177" stopIfTrue="1">
      <formula>F3+G3=0</formula>
    </cfRule>
  </conditionalFormatting>
  <conditionalFormatting sqref="AT3:AT62">
    <cfRule type="expression" priority="10" dxfId="177" stopIfTrue="1">
      <formula>L3=""</formula>
    </cfRule>
    <cfRule type="expression" priority="11" dxfId="178" stopIfTrue="1">
      <formula>AS3-AR3&gt;0</formula>
    </cfRule>
    <cfRule type="expression" priority="12" dxfId="177" stopIfTrue="1">
      <formula>AT3=""</formula>
    </cfRule>
  </conditionalFormatting>
  <conditionalFormatting sqref="L4">
    <cfRule type="expression" priority="13" dxfId="2" stopIfTrue="1">
      <formula>T4+U4&gt;0</formula>
    </cfRule>
    <cfRule type="expression" priority="14" dxfId="0" stopIfTrue="1">
      <formula>D4="Spieler 9"</formula>
    </cfRule>
    <cfRule type="expression" priority="15" dxfId="0" stopIfTrue="1">
      <formula>E4="Spieler 25"</formula>
    </cfRule>
  </conditionalFormatting>
  <conditionalFormatting sqref="L5">
    <cfRule type="expression" priority="16" dxfId="2" stopIfTrue="1">
      <formula>T5+U5&gt;0</formula>
    </cfRule>
    <cfRule type="expression" priority="17" dxfId="0" stopIfTrue="1">
      <formula>D5="Spieler 5"</formula>
    </cfRule>
    <cfRule type="expression" priority="18" dxfId="0" stopIfTrue="1">
      <formula>E5="Spieler 21"</formula>
    </cfRule>
  </conditionalFormatting>
  <conditionalFormatting sqref="L6">
    <cfRule type="expression" priority="19" dxfId="2" stopIfTrue="1">
      <formula>T6+U6&gt;0</formula>
    </cfRule>
    <cfRule type="expression" priority="20" dxfId="0" stopIfTrue="1">
      <formula>D6="Spieler 13"</formula>
    </cfRule>
    <cfRule type="expression" priority="21" dxfId="0" stopIfTrue="1">
      <formula>E6="Spieler 29"</formula>
    </cfRule>
  </conditionalFormatting>
  <conditionalFormatting sqref="L7">
    <cfRule type="expression" priority="22" dxfId="2" stopIfTrue="1">
      <formula>T7+U7&gt;0</formula>
    </cfRule>
    <cfRule type="expression" priority="23" dxfId="0" stopIfTrue="1">
      <formula>D7="Spieler 3"</formula>
    </cfRule>
    <cfRule type="expression" priority="24" dxfId="0" stopIfTrue="1">
      <formula>E7="Spieler 19"</formula>
    </cfRule>
  </conditionalFormatting>
  <conditionalFormatting sqref="L8">
    <cfRule type="expression" priority="25" dxfId="2" stopIfTrue="1">
      <formula>T8+U8&gt;0</formula>
    </cfRule>
    <cfRule type="expression" priority="26" dxfId="0" stopIfTrue="1">
      <formula>D8="Spieler 11"</formula>
    </cfRule>
    <cfRule type="expression" priority="27" dxfId="0" stopIfTrue="1">
      <formula>E8="Spieler 27"</formula>
    </cfRule>
  </conditionalFormatting>
  <conditionalFormatting sqref="L9">
    <cfRule type="expression" priority="28" dxfId="2" stopIfTrue="1">
      <formula>T9+U9&gt;0</formula>
    </cfRule>
    <cfRule type="expression" priority="29" dxfId="0" stopIfTrue="1">
      <formula>D9="Spieler 7"</formula>
    </cfRule>
    <cfRule type="expression" priority="30" dxfId="0" stopIfTrue="1">
      <formula>E9="Spieler 23"</formula>
    </cfRule>
  </conditionalFormatting>
  <conditionalFormatting sqref="L10">
    <cfRule type="expression" priority="31" dxfId="2" stopIfTrue="1">
      <formula>T10+U10&gt;0</formula>
    </cfRule>
    <cfRule type="expression" priority="32" dxfId="0" stopIfTrue="1">
      <formula>D10="Spieler 15"</formula>
    </cfRule>
    <cfRule type="expression" priority="33" dxfId="0" stopIfTrue="1">
      <formula>E10="Spieler 31"</formula>
    </cfRule>
  </conditionalFormatting>
  <conditionalFormatting sqref="L11">
    <cfRule type="expression" priority="34" dxfId="2" stopIfTrue="1">
      <formula>T11+U11&gt;0</formula>
    </cfRule>
    <cfRule type="expression" priority="35" dxfId="0" stopIfTrue="1">
      <formula>D11="Spieler 2"</formula>
    </cfRule>
    <cfRule type="expression" priority="36" dxfId="0" stopIfTrue="1">
      <formula>E11="Spieler 18"</formula>
    </cfRule>
  </conditionalFormatting>
  <conditionalFormatting sqref="L12">
    <cfRule type="expression" priority="37" dxfId="2" stopIfTrue="1">
      <formula>T12+U12&gt;0</formula>
    </cfRule>
    <cfRule type="expression" priority="38" dxfId="0" stopIfTrue="1">
      <formula>D12="Spieler 10"</formula>
    </cfRule>
    <cfRule type="expression" priority="39" dxfId="0" stopIfTrue="1">
      <formula>E12="Spieler 26"</formula>
    </cfRule>
  </conditionalFormatting>
  <conditionalFormatting sqref="L13">
    <cfRule type="expression" priority="40" dxfId="2" stopIfTrue="1">
      <formula>T13+U13&gt;0</formula>
    </cfRule>
    <cfRule type="expression" priority="41" dxfId="0" stopIfTrue="1">
      <formula>D13="Spieler 6"</formula>
    </cfRule>
    <cfRule type="expression" priority="42" dxfId="0" stopIfTrue="1">
      <formula>E13="Spieler 22"</formula>
    </cfRule>
  </conditionalFormatting>
  <conditionalFormatting sqref="L14">
    <cfRule type="expression" priority="43" dxfId="2" stopIfTrue="1">
      <formula>T14+U14&gt;0</formula>
    </cfRule>
    <cfRule type="expression" priority="44" dxfId="0" stopIfTrue="1">
      <formula>D14="Spieler 14"</formula>
    </cfRule>
    <cfRule type="expression" priority="45" dxfId="0" stopIfTrue="1">
      <formula>E14="Spieler 30"</formula>
    </cfRule>
  </conditionalFormatting>
  <conditionalFormatting sqref="L15">
    <cfRule type="expression" priority="46" dxfId="2" stopIfTrue="1">
      <formula>T15+U15&gt;0</formula>
    </cfRule>
    <cfRule type="expression" priority="47" dxfId="0" stopIfTrue="1">
      <formula>D15="Spieler 4"</formula>
    </cfRule>
    <cfRule type="expression" priority="48" dxfId="0" stopIfTrue="1">
      <formula>E15="Spieler 20"</formula>
    </cfRule>
  </conditionalFormatting>
  <conditionalFormatting sqref="L16">
    <cfRule type="expression" priority="49" dxfId="2" stopIfTrue="1">
      <formula>T16+U16&gt;0</formula>
    </cfRule>
    <cfRule type="expression" priority="50" dxfId="0" stopIfTrue="1">
      <formula>D16="Spieler 12"</formula>
    </cfRule>
    <cfRule type="expression" priority="51" dxfId="0" stopIfTrue="1">
      <formula>E16="Spieler 28"</formula>
    </cfRule>
  </conditionalFormatting>
  <conditionalFormatting sqref="L17">
    <cfRule type="expression" priority="52" dxfId="2" stopIfTrue="1">
      <formula>T17+U17&gt;0</formula>
    </cfRule>
    <cfRule type="expression" priority="53" dxfId="0" stopIfTrue="1">
      <formula>D17="Spieler 8"</formula>
    </cfRule>
    <cfRule type="expression" priority="54" dxfId="0" stopIfTrue="1">
      <formula>E17="Spieler 24"</formula>
    </cfRule>
  </conditionalFormatting>
  <conditionalFormatting sqref="L18">
    <cfRule type="expression" priority="55" dxfId="2" stopIfTrue="1">
      <formula>T18+U18&gt;0</formula>
    </cfRule>
    <cfRule type="expression" priority="56" dxfId="0" stopIfTrue="1">
      <formula>D18="Spieler 16"</formula>
    </cfRule>
    <cfRule type="expression" priority="57" dxfId="0" stopIfTrue="1">
      <formula>E18="Spieler 32"</formula>
    </cfRule>
  </conditionalFormatting>
  <conditionalFormatting sqref="L19">
    <cfRule type="expression" priority="58" dxfId="2" stopIfTrue="1">
      <formula>T19+U19&gt;0</formula>
    </cfRule>
    <cfRule type="expression" priority="59" dxfId="0" stopIfTrue="1">
      <formula>D19="Verlierer 1"</formula>
    </cfRule>
    <cfRule type="expression" priority="60" dxfId="0" stopIfTrue="1">
      <formula>E19="Verlierer 2"</formula>
    </cfRule>
  </conditionalFormatting>
  <conditionalFormatting sqref="L20">
    <cfRule type="expression" priority="61" dxfId="2" stopIfTrue="1">
      <formula>T20+U20&gt;0</formula>
    </cfRule>
    <cfRule type="expression" priority="62" dxfId="0" stopIfTrue="1">
      <formula>D20="Verlierer 3"</formula>
    </cfRule>
    <cfRule type="expression" priority="63" dxfId="0" stopIfTrue="1">
      <formula>E20="Verlierer 4"</formula>
    </cfRule>
  </conditionalFormatting>
  <conditionalFormatting sqref="L21">
    <cfRule type="expression" priority="64" dxfId="2" stopIfTrue="1">
      <formula>T21+U21&gt;0</formula>
    </cfRule>
    <cfRule type="expression" priority="65" dxfId="0" stopIfTrue="1">
      <formula>D21="Verlierer 5"</formula>
    </cfRule>
    <cfRule type="expression" priority="66" dxfId="0" stopIfTrue="1">
      <formula>E21="Verlierer 6"</formula>
    </cfRule>
  </conditionalFormatting>
  <conditionalFormatting sqref="L22">
    <cfRule type="expression" priority="67" dxfId="2" stopIfTrue="1">
      <formula>T22+U22&gt;0</formula>
    </cfRule>
    <cfRule type="expression" priority="68" dxfId="0" stopIfTrue="1">
      <formula>D22="Verlierer 7"</formula>
    </cfRule>
    <cfRule type="expression" priority="69" dxfId="0" stopIfTrue="1">
      <formula>E22="Verlierer 8"</formula>
    </cfRule>
  </conditionalFormatting>
  <conditionalFormatting sqref="L23">
    <cfRule type="expression" priority="70" dxfId="2" stopIfTrue="1">
      <formula>T23+U23&gt;0</formula>
    </cfRule>
    <cfRule type="expression" priority="71" dxfId="0" stopIfTrue="1">
      <formula>D23="Verlierer 9"</formula>
    </cfRule>
    <cfRule type="expression" priority="72" dxfId="0" stopIfTrue="1">
      <formula>E23="Verlierer 10"</formula>
    </cfRule>
  </conditionalFormatting>
  <conditionalFormatting sqref="L24">
    <cfRule type="expression" priority="73" dxfId="2" stopIfTrue="1">
      <formula>T24+U24&gt;0</formula>
    </cfRule>
    <cfRule type="expression" priority="74" dxfId="0" stopIfTrue="1">
      <formula>D24="Verlierer 11"</formula>
    </cfRule>
    <cfRule type="expression" priority="75" dxfId="0" stopIfTrue="1">
      <formula>E24="Verlierer 12"</formula>
    </cfRule>
  </conditionalFormatting>
  <conditionalFormatting sqref="L25">
    <cfRule type="expression" priority="76" dxfId="2" stopIfTrue="1">
      <formula>T25+U25&gt;0</formula>
    </cfRule>
    <cfRule type="expression" priority="77" dxfId="0" stopIfTrue="1">
      <formula>D25="Verlierer 13"</formula>
    </cfRule>
    <cfRule type="expression" priority="78" dxfId="0" stopIfTrue="1">
      <formula>E25="Verlierer 14"</formula>
    </cfRule>
  </conditionalFormatting>
  <conditionalFormatting sqref="L26">
    <cfRule type="expression" priority="79" dxfId="2" stopIfTrue="1">
      <formula>T26+U26&gt;0</formula>
    </cfRule>
    <cfRule type="expression" priority="80" dxfId="0" stopIfTrue="1">
      <formula>D26="Verlierer 15"</formula>
    </cfRule>
    <cfRule type="expression" priority="81" dxfId="0" stopIfTrue="1">
      <formula>E26="Verlierer 16"</formula>
    </cfRule>
  </conditionalFormatting>
  <conditionalFormatting sqref="L27">
    <cfRule type="expression" priority="82" dxfId="2" stopIfTrue="1">
      <formula>T27+U27&gt;0</formula>
    </cfRule>
    <cfRule type="expression" priority="83" dxfId="0" stopIfTrue="1">
      <formula>D27="Sieger 1"</formula>
    </cfRule>
    <cfRule type="expression" priority="84" dxfId="0" stopIfTrue="1">
      <formula>E27="Sieger 2"</formula>
    </cfRule>
  </conditionalFormatting>
  <conditionalFormatting sqref="L28">
    <cfRule type="expression" priority="85" dxfId="2" stopIfTrue="1">
      <formula>T28+U28&gt;0</formula>
    </cfRule>
    <cfRule type="expression" priority="86" dxfId="0" stopIfTrue="1">
      <formula>D28="Sieger 3"</formula>
    </cfRule>
    <cfRule type="expression" priority="87" dxfId="0" stopIfTrue="1">
      <formula>E28="Sieger 4"</formula>
    </cfRule>
  </conditionalFormatting>
  <conditionalFormatting sqref="L29">
    <cfRule type="expression" priority="88" dxfId="2" stopIfTrue="1">
      <formula>T29+U29&gt;0</formula>
    </cfRule>
    <cfRule type="expression" priority="89" dxfId="0" stopIfTrue="1">
      <formula>D29="Sieger 5"</formula>
    </cfRule>
    <cfRule type="expression" priority="90" dxfId="0" stopIfTrue="1">
      <formula>E29="Sieger 6"</formula>
    </cfRule>
  </conditionalFormatting>
  <conditionalFormatting sqref="L30">
    <cfRule type="expression" priority="91" dxfId="2" stopIfTrue="1">
      <formula>T30+U30&gt;0</formula>
    </cfRule>
    <cfRule type="expression" priority="92" dxfId="0" stopIfTrue="1">
      <formula>D30="Sieger 7"</formula>
    </cfRule>
    <cfRule type="expression" priority="93" dxfId="0" stopIfTrue="1">
      <formula>E30="Sieger 8"</formula>
    </cfRule>
  </conditionalFormatting>
  <conditionalFormatting sqref="L31">
    <cfRule type="expression" priority="94" dxfId="2" stopIfTrue="1">
      <formula>T31+U31&gt;0</formula>
    </cfRule>
    <cfRule type="expression" priority="95" dxfId="0" stopIfTrue="1">
      <formula>D31="Sieger 9"</formula>
    </cfRule>
    <cfRule type="expression" priority="96" dxfId="0" stopIfTrue="1">
      <formula>E31="Sieger 10"</formula>
    </cfRule>
  </conditionalFormatting>
  <conditionalFormatting sqref="L32">
    <cfRule type="expression" priority="97" dxfId="2" stopIfTrue="1">
      <formula>T32+U32&gt;0</formula>
    </cfRule>
    <cfRule type="expression" priority="98" dxfId="0" stopIfTrue="1">
      <formula>D32="Sieger 11"</formula>
    </cfRule>
    <cfRule type="expression" priority="99" dxfId="0" stopIfTrue="1">
      <formula>E32="Sieger 12"</formula>
    </cfRule>
  </conditionalFormatting>
  <conditionalFormatting sqref="L33">
    <cfRule type="expression" priority="100" dxfId="2" stopIfTrue="1">
      <formula>T33+U33&gt;0</formula>
    </cfRule>
    <cfRule type="expression" priority="101" dxfId="0" stopIfTrue="1">
      <formula>D33="Sieger 13"</formula>
    </cfRule>
    <cfRule type="expression" priority="102" dxfId="0" stopIfTrue="1">
      <formula>E33="Sieger 14"</formula>
    </cfRule>
  </conditionalFormatting>
  <conditionalFormatting sqref="L34">
    <cfRule type="expression" priority="103" dxfId="2" stopIfTrue="1">
      <formula>T34+U34&gt;0</formula>
    </cfRule>
    <cfRule type="expression" priority="104" dxfId="0" stopIfTrue="1">
      <formula>D34="Sieger 15"</formula>
    </cfRule>
    <cfRule type="expression" priority="105" dxfId="0" stopIfTrue="1">
      <formula>E34="Sieger 16"</formula>
    </cfRule>
  </conditionalFormatting>
  <conditionalFormatting sqref="L35">
    <cfRule type="expression" priority="106" dxfId="2" stopIfTrue="1">
      <formula>T35+U35&gt;0</formula>
    </cfRule>
    <cfRule type="expression" priority="107" dxfId="0" stopIfTrue="1">
      <formula>D35="Sieger 17"</formula>
    </cfRule>
    <cfRule type="expression" priority="108" dxfId="0" stopIfTrue="1">
      <formula>E35="Verlierer 32"</formula>
    </cfRule>
  </conditionalFormatting>
  <conditionalFormatting sqref="L36">
    <cfRule type="expression" priority="109" dxfId="2" stopIfTrue="1">
      <formula>T36+U36&gt;0</formula>
    </cfRule>
    <cfRule type="expression" priority="110" dxfId="0" stopIfTrue="1">
      <formula>D36="Sieger 18"</formula>
    </cfRule>
    <cfRule type="expression" priority="111" dxfId="0" stopIfTrue="1">
      <formula>E36="Verlierer 31"</formula>
    </cfRule>
  </conditionalFormatting>
  <conditionalFormatting sqref="L37">
    <cfRule type="expression" priority="112" dxfId="2" stopIfTrue="1">
      <formula>T37+U37&gt;0</formula>
    </cfRule>
    <cfRule type="expression" priority="113" dxfId="0" stopIfTrue="1">
      <formula>D37="Sieger 19"</formula>
    </cfRule>
    <cfRule type="expression" priority="114" dxfId="0" stopIfTrue="1">
      <formula>E37="Verlierer 30"</formula>
    </cfRule>
  </conditionalFormatting>
  <conditionalFormatting sqref="L38">
    <cfRule type="expression" priority="115" dxfId="2" stopIfTrue="1">
      <formula>T38+U38&gt;0</formula>
    </cfRule>
    <cfRule type="expression" priority="116" dxfId="0" stopIfTrue="1">
      <formula>D38="Sieger 20"</formula>
    </cfRule>
    <cfRule type="expression" priority="117" dxfId="0" stopIfTrue="1">
      <formula>E38="Verlierer 29"</formula>
    </cfRule>
  </conditionalFormatting>
  <conditionalFormatting sqref="L39">
    <cfRule type="expression" priority="118" dxfId="2" stopIfTrue="1">
      <formula>T39+U39&gt;0</formula>
    </cfRule>
    <cfRule type="expression" priority="119" dxfId="0" stopIfTrue="1">
      <formula>D39="Sieger 21"</formula>
    </cfRule>
    <cfRule type="expression" priority="120" dxfId="0" stopIfTrue="1">
      <formula>E39="Verlierer 28"</formula>
    </cfRule>
  </conditionalFormatting>
  <conditionalFormatting sqref="L40">
    <cfRule type="expression" priority="121" dxfId="2" stopIfTrue="1">
      <formula>T40+U40&gt;0</formula>
    </cfRule>
    <cfRule type="expression" priority="122" dxfId="0" stopIfTrue="1">
      <formula>D40="Sieger 22"</formula>
    </cfRule>
    <cfRule type="expression" priority="123" dxfId="0" stopIfTrue="1">
      <formula>E40="Verlierer 27"</formula>
    </cfRule>
  </conditionalFormatting>
  <conditionalFormatting sqref="L41">
    <cfRule type="expression" priority="124" dxfId="2" stopIfTrue="1">
      <formula>T41+U41&gt;0</formula>
    </cfRule>
    <cfRule type="expression" priority="125" dxfId="0" stopIfTrue="1">
      <formula>D41="Sieger 23"</formula>
    </cfRule>
    <cfRule type="expression" priority="126" dxfId="0" stopIfTrue="1">
      <formula>E41="Verlierer 26"</formula>
    </cfRule>
  </conditionalFormatting>
  <conditionalFormatting sqref="L42">
    <cfRule type="expression" priority="127" dxfId="2" stopIfTrue="1">
      <formula>T42+U42&gt;0</formula>
    </cfRule>
    <cfRule type="expression" priority="128" dxfId="0" stopIfTrue="1">
      <formula>D42="Sieger 24"</formula>
    </cfRule>
    <cfRule type="expression" priority="129" dxfId="0" stopIfTrue="1">
      <formula>E42="Verlierer 25"</formula>
    </cfRule>
  </conditionalFormatting>
  <conditionalFormatting sqref="L43">
    <cfRule type="expression" priority="130" dxfId="2" stopIfTrue="1">
      <formula>T43+U43&gt;0</formula>
    </cfRule>
    <cfRule type="expression" priority="131" dxfId="0" stopIfTrue="1">
      <formula>D43="Sieger 33"</formula>
    </cfRule>
    <cfRule type="expression" priority="132" dxfId="0" stopIfTrue="1">
      <formula>E43="Sieger 34"</formula>
    </cfRule>
  </conditionalFormatting>
  <conditionalFormatting sqref="L44">
    <cfRule type="expression" priority="133" dxfId="2" stopIfTrue="1">
      <formula>T44+U44&gt;0</formula>
    </cfRule>
    <cfRule type="expression" priority="134" dxfId="0" stopIfTrue="1">
      <formula>D44="Sieger 35"</formula>
    </cfRule>
    <cfRule type="expression" priority="135" dxfId="0" stopIfTrue="1">
      <formula>E44="Sieger 36"</formula>
    </cfRule>
  </conditionalFormatting>
  <conditionalFormatting sqref="L45">
    <cfRule type="expression" priority="136" dxfId="2" stopIfTrue="1">
      <formula>T45+U45&gt;0</formula>
    </cfRule>
    <cfRule type="expression" priority="137" dxfId="0" stopIfTrue="1">
      <formula>D45="Sieger 37"</formula>
    </cfRule>
    <cfRule type="expression" priority="138" dxfId="0" stopIfTrue="1">
      <formula>E45="Sieger 38"</formula>
    </cfRule>
  </conditionalFormatting>
  <conditionalFormatting sqref="L46">
    <cfRule type="expression" priority="139" dxfId="2" stopIfTrue="1">
      <formula>T46+U46&gt;0</formula>
    </cfRule>
    <cfRule type="expression" priority="140" dxfId="0" stopIfTrue="1">
      <formula>D46="Sieger 39"</formula>
    </cfRule>
    <cfRule type="expression" priority="141" dxfId="0" stopIfTrue="1">
      <formula>E46="Sieger 40"</formula>
    </cfRule>
  </conditionalFormatting>
  <conditionalFormatting sqref="L47">
    <cfRule type="expression" priority="142" dxfId="2" stopIfTrue="1">
      <formula>T47+U47&gt;0</formula>
    </cfRule>
    <cfRule type="expression" priority="143" dxfId="0" stopIfTrue="1">
      <formula>D47="Sieger 25"</formula>
    </cfRule>
    <cfRule type="expression" priority="144" dxfId="0" stopIfTrue="1">
      <formula>E47="Sieger 26"</formula>
    </cfRule>
  </conditionalFormatting>
  <conditionalFormatting sqref="L48">
    <cfRule type="expression" priority="145" dxfId="2" stopIfTrue="1">
      <formula>T48+U48&gt;0</formula>
    </cfRule>
    <cfRule type="expression" priority="146" dxfId="0" stopIfTrue="1">
      <formula>D48="Sieger 27"</formula>
    </cfRule>
    <cfRule type="expression" priority="147" dxfId="0" stopIfTrue="1">
      <formula>E48="Sieger 28"</formula>
    </cfRule>
  </conditionalFormatting>
  <conditionalFormatting sqref="L49">
    <cfRule type="expression" priority="148" dxfId="2" stopIfTrue="1">
      <formula>T49+U49&gt;0</formula>
    </cfRule>
    <cfRule type="expression" priority="149" dxfId="0" stopIfTrue="1">
      <formula>D49="Sieger 29"</formula>
    </cfRule>
    <cfRule type="expression" priority="150" dxfId="0" stopIfTrue="1">
      <formula>E49="Sieger 30"</formula>
    </cfRule>
  </conditionalFormatting>
  <conditionalFormatting sqref="L50">
    <cfRule type="expression" priority="151" dxfId="2" stopIfTrue="1">
      <formula>T50+U50&gt;0</formula>
    </cfRule>
    <cfRule type="expression" priority="152" dxfId="0" stopIfTrue="1">
      <formula>D50="Sieger 31"</formula>
    </cfRule>
    <cfRule type="expression" priority="153" dxfId="0" stopIfTrue="1">
      <formula>E50="Sieger 32"</formula>
    </cfRule>
  </conditionalFormatting>
  <conditionalFormatting sqref="L51">
    <cfRule type="expression" priority="154" dxfId="2" stopIfTrue="1">
      <formula>T51+U51&gt;0</formula>
    </cfRule>
    <cfRule type="expression" priority="155" dxfId="0" stopIfTrue="1">
      <formula>D51="Sieger 41"</formula>
    </cfRule>
    <cfRule type="expression" priority="156" dxfId="0" stopIfTrue="1">
      <formula>E51="Verlierer 46"</formula>
    </cfRule>
  </conditionalFormatting>
  <conditionalFormatting sqref="L52">
    <cfRule type="expression" priority="157" dxfId="2" stopIfTrue="1">
      <formula>T52+U52&gt;0</formula>
    </cfRule>
    <cfRule type="expression" priority="158" dxfId="0" stopIfTrue="1">
      <formula>D52="Sieger 42"</formula>
    </cfRule>
    <cfRule type="expression" priority="159" dxfId="0" stopIfTrue="1">
      <formula>E52="Verlierer 45"</formula>
    </cfRule>
  </conditionalFormatting>
  <conditionalFormatting sqref="L53">
    <cfRule type="expression" priority="160" dxfId="2" stopIfTrue="1">
      <formula>T53+U53&gt;0</formula>
    </cfRule>
    <cfRule type="expression" priority="161" dxfId="0" stopIfTrue="1">
      <formula>D53="Sieger 43"</formula>
    </cfRule>
    <cfRule type="expression" priority="162" dxfId="0" stopIfTrue="1">
      <formula>E53="Verlierer 48"</formula>
    </cfRule>
  </conditionalFormatting>
  <conditionalFormatting sqref="L54">
    <cfRule type="expression" priority="163" dxfId="2" stopIfTrue="1">
      <formula>T54+U54&gt;0</formula>
    </cfRule>
    <cfRule type="expression" priority="164" dxfId="0" stopIfTrue="1">
      <formula>D54="Sieger 44"</formula>
    </cfRule>
    <cfRule type="expression" priority="165" dxfId="0" stopIfTrue="1">
      <formula>E54="Verlierer 47"</formula>
    </cfRule>
  </conditionalFormatting>
  <conditionalFormatting sqref="L55">
    <cfRule type="expression" priority="166" dxfId="2" stopIfTrue="1">
      <formula>T55+U55&gt;0</formula>
    </cfRule>
    <cfRule type="expression" priority="167" dxfId="0" stopIfTrue="1">
      <formula>D55="Sieger 45"</formula>
    </cfRule>
    <cfRule type="expression" priority="168" dxfId="0" stopIfTrue="1">
      <formula>E55="Sieger 52"</formula>
    </cfRule>
  </conditionalFormatting>
  <conditionalFormatting sqref="L56">
    <cfRule type="expression" priority="169" dxfId="2" stopIfTrue="1">
      <formula>T56+U56&gt;0</formula>
    </cfRule>
    <cfRule type="expression" priority="170" dxfId="0" stopIfTrue="1">
      <formula>D56="Sieger 46"</formula>
    </cfRule>
    <cfRule type="expression" priority="171" dxfId="0" stopIfTrue="1">
      <formula>E56="Sieger 51"</formula>
    </cfRule>
  </conditionalFormatting>
  <conditionalFormatting sqref="L57">
    <cfRule type="expression" priority="172" dxfId="2" stopIfTrue="1">
      <formula>T57+U57&gt;0</formula>
    </cfRule>
    <cfRule type="expression" priority="173" dxfId="0" stopIfTrue="1">
      <formula>D57="Sieger 47"</formula>
    </cfRule>
    <cfRule type="expression" priority="174" dxfId="0" stopIfTrue="1">
      <formula>E57="Sieger 50"</formula>
    </cfRule>
  </conditionalFormatting>
  <conditionalFormatting sqref="L58">
    <cfRule type="expression" priority="175" dxfId="2" stopIfTrue="1">
      <formula>T58+U58&gt;0</formula>
    </cfRule>
    <cfRule type="expression" priority="176" dxfId="0" stopIfTrue="1">
      <formula>D58="Sieger 48"</formula>
    </cfRule>
    <cfRule type="expression" priority="177" dxfId="0" stopIfTrue="1">
      <formula>E58="Sieger 49"</formula>
    </cfRule>
  </conditionalFormatting>
  <conditionalFormatting sqref="L59">
    <cfRule type="expression" priority="178" dxfId="2" stopIfTrue="1">
      <formula>T59+U59&gt;0</formula>
    </cfRule>
    <cfRule type="expression" priority="179" dxfId="0" stopIfTrue="1">
      <formula>D59="Sieger 53"</formula>
    </cfRule>
    <cfRule type="expression" priority="180" dxfId="0" stopIfTrue="1">
      <formula>E59="Sieger 54"</formula>
    </cfRule>
  </conditionalFormatting>
  <conditionalFormatting sqref="L60">
    <cfRule type="expression" priority="181" dxfId="2" stopIfTrue="1">
      <formula>T60+U60&gt;0</formula>
    </cfRule>
    <cfRule type="expression" priority="182" dxfId="0" stopIfTrue="1">
      <formula>D60="Sieger 55"</formula>
    </cfRule>
    <cfRule type="expression" priority="183" dxfId="0" stopIfTrue="1">
      <formula>E60="Sieger 56"</formula>
    </cfRule>
  </conditionalFormatting>
  <conditionalFormatting sqref="L61">
    <cfRule type="expression" priority="184" dxfId="2" stopIfTrue="1">
      <formula>T61+U61&gt;0</formula>
    </cfRule>
    <cfRule type="expression" priority="185" dxfId="0" stopIfTrue="1">
      <formula>D61="Verlierer 57"</formula>
    </cfRule>
    <cfRule type="expression" priority="186" dxfId="0" stopIfTrue="1">
      <formula>E61="Verlierer 58"</formula>
    </cfRule>
  </conditionalFormatting>
  <conditionalFormatting sqref="L62">
    <cfRule type="expression" priority="187" dxfId="2" stopIfTrue="1">
      <formula>T62+U62&gt;0</formula>
    </cfRule>
    <cfRule type="expression" priority="188" dxfId="0" stopIfTrue="1">
      <formula>D62="Sieger 57"</formula>
    </cfRule>
    <cfRule type="expression" priority="189" dxfId="0" stopIfTrue="1">
      <formula>E62="Sieger 58"</formula>
    </cfRule>
  </conditionalFormatting>
  <dataValidations count="3">
    <dataValidation type="custom" allowBlank="1" showInputMessage="1" showErrorMessage="1" error="Eingabefehler: Spiele bzw. Punkte müssen bei Eingabe unterschiedlich sein !" sqref="F3:F62">
      <formula1>F3&lt;&gt;G3</formula1>
    </dataValidation>
    <dataValidation type="custom" allowBlank="1" showInputMessage="1" showErrorMessage="1" error="Eingabefehler: Spiele bzw. Punkte müssen bei Eingabe unterschiedlich sein !" sqref="G3:G62">
      <formula1>F3&lt;&gt;G3</formula1>
    </dataValidation>
    <dataValidation type="custom" allowBlank="1" showInputMessage="1" showErrorMessage="1" error="Tisch bereits vergeben - anderen Tische auswählen" sqref="L3:L62">
      <formula1>$J$70&lt;&gt;2</formula1>
    </dataValidation>
  </dataValidations>
  <printOptions/>
  <pageMargins left="0.787401575" right="0.787401575" top="0.984251969" bottom="0.984251969" header="0.4921259845" footer="0.4921259845"/>
  <pageSetup fitToHeight="1" fitToWidth="1" horizontalDpi="300" verticalDpi="3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2:AD54"/>
  <sheetViews>
    <sheetView showGridLines="0" showRowColHeaders="0" showOutlineSymbols="0" zoomScale="60" zoomScaleNormal="60" zoomScalePageLayoutView="0" workbookViewId="0" topLeftCell="A2">
      <selection activeCell="R30" sqref="R30"/>
    </sheetView>
  </sheetViews>
  <sheetFormatPr defaultColWidth="11.421875" defaultRowHeight="12.75"/>
  <cols>
    <col min="1" max="1" width="4.00390625" style="23" customWidth="1"/>
    <col min="2" max="2" width="4.8515625" style="2" customWidth="1"/>
    <col min="3" max="3" width="12.57421875" style="6" customWidth="1"/>
    <col min="4" max="4" width="4.8515625" style="2" customWidth="1"/>
    <col min="5" max="5" width="12.57421875" style="2" customWidth="1"/>
    <col min="6" max="6" width="4.7109375" style="6" customWidth="1"/>
    <col min="7" max="7" width="12.57421875" style="2" customWidth="1"/>
    <col min="8" max="8" width="4.7109375" style="2" customWidth="1"/>
    <col min="9" max="9" width="12.57421875" style="6" customWidth="1"/>
    <col min="10" max="10" width="4.7109375" style="2" customWidth="1"/>
    <col min="11" max="11" width="12.57421875" style="2" customWidth="1"/>
    <col min="12" max="12" width="4.8515625" style="6" customWidth="1"/>
    <col min="13" max="13" width="12.7109375" style="6" customWidth="1"/>
    <col min="14" max="14" width="4.7109375" style="2" customWidth="1"/>
    <col min="15" max="15" width="12.57421875" style="2" customWidth="1"/>
    <col min="16" max="16" width="4.7109375" style="6" customWidth="1"/>
    <col min="17" max="17" width="12.7109375" style="2" customWidth="1"/>
    <col min="18" max="18" width="4.7109375" style="2" customWidth="1"/>
    <col min="19" max="19" width="12.57421875" style="6" customWidth="1"/>
    <col min="20" max="20" width="4.7109375" style="2" customWidth="1"/>
    <col min="21" max="21" width="12.7109375" style="2" customWidth="1"/>
    <col min="22" max="22" width="4.7109375" style="23" customWidth="1"/>
    <col min="23" max="23" width="4.00390625" style="6" customWidth="1"/>
    <col min="24" max="24" width="1.7109375" style="2" customWidth="1"/>
    <col min="25" max="25" width="5.57421875" style="6" bestFit="1" customWidth="1"/>
    <col min="26" max="26" width="11.421875" style="2" customWidth="1"/>
    <col min="27" max="27" width="4.57421875" style="2" customWidth="1"/>
    <col min="28" max="28" width="11.421875" style="23" customWidth="1"/>
    <col min="29" max="29" width="11.421875" style="6" customWidth="1"/>
    <col min="30" max="16384" width="11.421875" style="2" customWidth="1"/>
  </cols>
  <sheetData>
    <row r="2" ht="13.5" thickBot="1">
      <c r="K2" s="24" t="str">
        <f>SP32!B3</f>
        <v>HR</v>
      </c>
    </row>
    <row r="3" spans="8:12" ht="13.5" thickBot="1">
      <c r="H3" s="24" t="str">
        <f>SP32!B19</f>
        <v>VR1</v>
      </c>
      <c r="J3" s="27">
        <f>SP32!C3</f>
        <v>1</v>
      </c>
      <c r="K3" s="18" t="str">
        <f>SP32!D3</f>
        <v>Kuloyants, Valery [34790]</v>
      </c>
      <c r="L3" s="22">
        <f>SP32!F3</f>
        <v>75</v>
      </c>
    </row>
    <row r="4" spans="8:13" ht="13.5" thickBot="1">
      <c r="H4" s="65" t="s">
        <v>125</v>
      </c>
      <c r="J4" s="19">
        <f>IF(SP32!L3&gt;0,SP32!L3,"")</f>
        <v>1</v>
      </c>
      <c r="K4" s="20" t="str">
        <f>SP32!E3</f>
        <v>Ruths, Georg [40922]</v>
      </c>
      <c r="L4" s="21">
        <f>SP32!G3</f>
        <v>35</v>
      </c>
      <c r="M4" s="24" t="str">
        <f>SP32!B27</f>
        <v>GR1</v>
      </c>
    </row>
    <row r="5" spans="7:14" ht="13.5" thickBot="1">
      <c r="G5" s="24" t="str">
        <f>SP32!B35</f>
        <v>VR2</v>
      </c>
      <c r="H5" s="27">
        <v>17</v>
      </c>
      <c r="I5" s="18" t="str">
        <f>SP32!D19</f>
        <v>Ruths, Georg [40922]</v>
      </c>
      <c r="J5" s="22">
        <f>SP32!F19</f>
        <v>17</v>
      </c>
      <c r="L5" s="27">
        <f>SP32!C27</f>
        <v>25</v>
      </c>
      <c r="M5" s="141" t="str">
        <f>SP32!D27</f>
        <v>Kuloyants, Valery [34790]</v>
      </c>
      <c r="N5" s="22">
        <f>SP32!F27</f>
        <v>64</v>
      </c>
    </row>
    <row r="6" spans="7:14" ht="13.5" thickBot="1">
      <c r="G6" s="65" t="s">
        <v>126</v>
      </c>
      <c r="H6" s="19">
        <f>IF(SP32!L19&gt;0,SP32!L19,"")</f>
        <v>1</v>
      </c>
      <c r="I6" s="20" t="str">
        <f>SP32!E19</f>
        <v>Caranica, Philipp [32781]</v>
      </c>
      <c r="J6" s="21">
        <f>SP32!G19</f>
        <v>75</v>
      </c>
      <c r="L6" s="19">
        <f>IF(SP32!L27&gt;0,SP32!L27,"")</f>
        <v>5</v>
      </c>
      <c r="M6" s="143" t="str">
        <f>SP32!E27</f>
        <v>Obermeier, Andreas [29213]</v>
      </c>
      <c r="N6" s="21">
        <f>SP32!G27</f>
        <v>75</v>
      </c>
    </row>
    <row r="7" spans="5:15" ht="13.5" thickBot="1">
      <c r="E7" s="24"/>
      <c r="F7" s="27">
        <f>SP32!C35</f>
        <v>33</v>
      </c>
      <c r="G7" s="18" t="str">
        <f>SP32!D35</f>
        <v>Caranica, Philipp [32781]</v>
      </c>
      <c r="H7" s="22">
        <f>SP32!F35</f>
        <v>0</v>
      </c>
      <c r="J7" s="27">
        <f>SP32!C4</f>
        <v>2</v>
      </c>
      <c r="K7" s="18" t="str">
        <f>SP32!D4</f>
        <v>Obermeier, Andreas [29213]</v>
      </c>
      <c r="L7" s="22">
        <f>SP32!F4</f>
        <v>75</v>
      </c>
      <c r="M7" s="26" t="s">
        <v>56</v>
      </c>
      <c r="O7" s="24" t="str">
        <f>SP32!B47</f>
        <v>GR2</v>
      </c>
    </row>
    <row r="8" spans="5:16" ht="13.5" thickBot="1">
      <c r="E8" s="24" t="str">
        <f>SP32!B43</f>
        <v>VR3</v>
      </c>
      <c r="F8" s="19">
        <f>IF(SP32!L35&gt;0,SP32!L35,"")</f>
        <v>11</v>
      </c>
      <c r="G8" s="20" t="str">
        <f>SP32!E35</f>
        <v>Gruber, Stefan [30145]</v>
      </c>
      <c r="H8" s="21">
        <f>SP32!G35</f>
        <v>75</v>
      </c>
      <c r="J8" s="19">
        <f>IF(SP32!L4&gt;0,SP32!L4,"")</f>
        <v>2</v>
      </c>
      <c r="K8" s="20" t="str">
        <f>SP32!E4</f>
        <v>Caranica, Philipp [32781]</v>
      </c>
      <c r="L8" s="21">
        <f>SP32!G4</f>
        <v>49</v>
      </c>
      <c r="N8" s="27">
        <f>SP32!C47</f>
        <v>45</v>
      </c>
      <c r="O8" s="18" t="str">
        <f>SP32!D47</f>
        <v>Obermeier, Andreas [29213]</v>
      </c>
      <c r="P8" s="22">
        <f>SP32!F47</f>
        <v>75</v>
      </c>
    </row>
    <row r="9" spans="5:16" ht="13.5" thickBot="1">
      <c r="E9" s="65" t="s">
        <v>127</v>
      </c>
      <c r="J9" s="27">
        <f>SP32!C5</f>
        <v>3</v>
      </c>
      <c r="K9" s="18" t="str">
        <f>SP32!D5</f>
        <v>Meister, Martin [19054]</v>
      </c>
      <c r="L9" s="22">
        <f>SP32!F5</f>
        <v>0</v>
      </c>
      <c r="N9" s="19">
        <f>IF(SP32!L47&gt;0,SP32!L47,"")</f>
        <v>20</v>
      </c>
      <c r="O9" s="20" t="str">
        <f>SP32!E47</f>
        <v>Dingler, Christian [20927]</v>
      </c>
      <c r="P9" s="21">
        <f>SP32!G47</f>
        <v>34</v>
      </c>
    </row>
    <row r="10" spans="3:15" ht="13.5" thickBot="1">
      <c r="C10" s="24" t="str">
        <f>SP32!B51</f>
        <v>VR4</v>
      </c>
      <c r="D10" s="27">
        <f>SP32!C43</f>
        <v>41</v>
      </c>
      <c r="E10" s="18" t="str">
        <f>SP32!D43</f>
        <v>Gruber, Stefan [30145]</v>
      </c>
      <c r="F10" s="22">
        <f>SP32!F43</f>
        <v>75</v>
      </c>
      <c r="J10" s="19">
        <f>IF(SP32!L5&gt;0,SP32!L5,"")</f>
        <v>3</v>
      </c>
      <c r="K10" s="20" t="str">
        <f>SP32!E5</f>
        <v>Schmid, Andreas [18352]</v>
      </c>
      <c r="L10" s="21">
        <f>SP32!G5</f>
        <v>75</v>
      </c>
      <c r="O10" s="25" t="s">
        <v>63</v>
      </c>
    </row>
    <row r="11" spans="3:17" ht="13.5" thickBot="1">
      <c r="C11" s="65" t="s">
        <v>128</v>
      </c>
      <c r="D11" s="19">
        <f>IF(SP32!L43&gt;0,SP32!L43,"")</f>
        <v>20</v>
      </c>
      <c r="E11" s="20" t="str">
        <f>SP32!E43</f>
        <v>Meister, Martin [19054]</v>
      </c>
      <c r="F11" s="21">
        <f>SP32!G43</f>
        <v>38</v>
      </c>
      <c r="H11" s="27">
        <v>18</v>
      </c>
      <c r="I11" s="18" t="str">
        <f>SP32!D20</f>
        <v>Meister, Martin [19054]</v>
      </c>
      <c r="J11" s="22">
        <f>SP32!F20</f>
        <v>75</v>
      </c>
      <c r="L11" s="27">
        <f>SP32!C28</f>
        <v>26</v>
      </c>
      <c r="M11" s="141" t="str">
        <f>SP32!D28</f>
        <v>Schmid, Andreas [18352]</v>
      </c>
      <c r="N11" s="22">
        <f>SP32!F28</f>
        <v>50</v>
      </c>
      <c r="O11" s="24"/>
      <c r="P11" s="2"/>
      <c r="Q11" s="24" t="s">
        <v>153</v>
      </c>
    </row>
    <row r="12" spans="2:18" ht="13.5" thickBot="1">
      <c r="B12" s="27">
        <v>49</v>
      </c>
      <c r="C12" s="18" t="str">
        <f>SP32!D51</f>
        <v>Gruber, Stefan [30145]</v>
      </c>
      <c r="D12" s="22">
        <f>SP32!F51</f>
        <v>75</v>
      </c>
      <c r="H12" s="19">
        <f>IF(SP32!L20&gt;0,SP32!L20,"")</f>
        <v>14</v>
      </c>
      <c r="I12" s="20" t="str">
        <f>SP32!E20</f>
        <v>Mader, Martin [26601]</v>
      </c>
      <c r="J12" s="21">
        <f>SP32!G20</f>
        <v>49</v>
      </c>
      <c r="L12" s="19">
        <f>IF(SP32!L28&gt;0,SP32!L28,"")</f>
        <v>19</v>
      </c>
      <c r="M12" s="143" t="str">
        <f>SP32!E28</f>
        <v>Dingler, Christian [20927]</v>
      </c>
      <c r="N12" s="21">
        <f>SP32!G28</f>
        <v>75</v>
      </c>
      <c r="P12" s="27">
        <f>SP32!C55</f>
        <v>53</v>
      </c>
      <c r="Q12" s="18" t="str">
        <f>SP32!D55</f>
        <v>Obermeier, Andreas [29213]</v>
      </c>
      <c r="R12" s="22">
        <f>SP32!F57</f>
        <v>29</v>
      </c>
    </row>
    <row r="13" spans="2:18" ht="13.5" thickBot="1">
      <c r="B13" s="19">
        <f>IF(SP32!L51&gt;0,SP32!L51,"")</f>
        <v>20</v>
      </c>
      <c r="C13" s="20" t="str">
        <f>SP32!E51</f>
        <v>Smith, Mike jun. [31558]</v>
      </c>
      <c r="D13" s="21">
        <f>SP32!G51</f>
        <v>9</v>
      </c>
      <c r="F13" s="27">
        <f>SP32!C36</f>
        <v>34</v>
      </c>
      <c r="G13" s="18" t="str">
        <f>SP32!D36</f>
        <v>Meister, Martin [19054]</v>
      </c>
      <c r="H13" s="22">
        <f>SP32!F36</f>
        <v>75</v>
      </c>
      <c r="J13" s="27">
        <f>SP32!C6</f>
        <v>4</v>
      </c>
      <c r="K13" s="18" t="str">
        <f>SP32!D6</f>
        <v>Mader, Martin [26601]</v>
      </c>
      <c r="L13" s="22">
        <f>SP32!F6</f>
        <v>72</v>
      </c>
      <c r="M13" s="26" t="s">
        <v>55</v>
      </c>
      <c r="P13" s="19">
        <f>IF(SP32!L55&gt;0,SP32!L55,"")</f>
        <v>16</v>
      </c>
      <c r="Q13" s="20" t="str">
        <f>SP32!E55</f>
        <v>Kuloyants, Valery [34790]</v>
      </c>
      <c r="R13" s="21">
        <f>SP32!G56</f>
        <v>75</v>
      </c>
    </row>
    <row r="14" spans="6:12" ht="13.5" thickBot="1">
      <c r="F14" s="19">
        <f>IF(SP32!L36&gt;0,SP32!L36,"")</f>
        <v>15</v>
      </c>
      <c r="G14" s="20" t="str">
        <f>SP32!E36</f>
        <v>Sohal, Tony [37510]</v>
      </c>
      <c r="H14" s="21">
        <f>SP32!G36</f>
        <v>36</v>
      </c>
      <c r="J14" s="19">
        <f>IF(SP32!L6&gt;0,SP32!L6,"")</f>
        <v>4</v>
      </c>
      <c r="K14" s="20" t="str">
        <f>SP32!E6</f>
        <v>Dingler, Christian [20927]</v>
      </c>
      <c r="L14" s="21">
        <f>SP32!G6</f>
        <v>75</v>
      </c>
    </row>
    <row r="15" spans="1:12" ht="13.5" thickBot="1">
      <c r="A15" s="2"/>
      <c r="E15" s="24"/>
      <c r="H15" s="24"/>
      <c r="J15" s="27">
        <f>SP32!C7</f>
        <v>5</v>
      </c>
      <c r="K15" s="18" t="str">
        <f>SP32!D7</f>
        <v>Schnürch, Martin [23070]</v>
      </c>
      <c r="L15" s="22">
        <f>SP32!F7</f>
        <v>75</v>
      </c>
    </row>
    <row r="16" spans="2:19" ht="13.5" thickBot="1">
      <c r="B16" s="6"/>
      <c r="J16" s="19">
        <f>IF(SP32!L7&gt;0,SP32!L7,"")</f>
        <v>5</v>
      </c>
      <c r="K16" s="20" t="str">
        <f>SP32!E7</f>
        <v>Kömürcü, Levent [20064]</v>
      </c>
      <c r="L16" s="21">
        <f>SP32!G7</f>
        <v>51</v>
      </c>
      <c r="S16" s="24" t="s">
        <v>154</v>
      </c>
    </row>
    <row r="17" spans="2:20" ht="13.5" thickBot="1">
      <c r="B17" s="6"/>
      <c r="H17" s="27">
        <f>SP32!C21</f>
        <v>19</v>
      </c>
      <c r="I17" s="18" t="str">
        <f>SP32!D21</f>
        <v>Kömürcü, Levent [20064]</v>
      </c>
      <c r="J17" s="22">
        <f>SP32!F21</f>
        <v>72</v>
      </c>
      <c r="L17" s="27">
        <f>SP32!C29</f>
        <v>27</v>
      </c>
      <c r="M17" s="141" t="str">
        <f>SP32!D29</f>
        <v>Schnürch, Martin [23070]</v>
      </c>
      <c r="N17" s="22">
        <f>SP32!F29</f>
        <v>63</v>
      </c>
      <c r="R17" s="27">
        <f>SP32!C59</f>
        <v>57</v>
      </c>
      <c r="S17" s="18" t="str">
        <f>SP32!D59</f>
        <v>Kuloyants, Valery [34790]</v>
      </c>
      <c r="T17" s="22">
        <f>SP32!F59</f>
        <v>75</v>
      </c>
    </row>
    <row r="18" spans="8:20" ht="13.5" thickBot="1">
      <c r="H18" s="19">
        <f>IF(SP32!L21&gt;0,SP32!L21,"")</f>
        <v>2</v>
      </c>
      <c r="I18" s="20" t="str">
        <f>SP32!E21</f>
        <v>Heimmerer, Benjamin [34073]</v>
      </c>
      <c r="J18" s="21">
        <f>SP32!G21</f>
        <v>75</v>
      </c>
      <c r="L18" s="19">
        <f>IF(SP32!L29&gt;0,SP32!L29,"")</f>
        <v>11</v>
      </c>
      <c r="M18" s="143" t="str">
        <f>SP32!E29</f>
        <v>Hirschbichler, Robert [22548]</v>
      </c>
      <c r="N18" s="21">
        <f>SP32!G29</f>
        <v>75</v>
      </c>
      <c r="R18" s="19">
        <f>IF(SP32!L59&gt;0,SP32!L59,"")</f>
        <v>20</v>
      </c>
      <c r="S18" s="20" t="str">
        <f>SP32!E59</f>
        <v>Au-Yeung, Michael [24627]</v>
      </c>
      <c r="T18" s="21">
        <f>SP32!G59</f>
        <v>49</v>
      </c>
    </row>
    <row r="19" spans="5:13" ht="13.5" thickBot="1">
      <c r="E19" s="24"/>
      <c r="F19" s="27">
        <f>SP32!C37</f>
        <v>35</v>
      </c>
      <c r="G19" s="18" t="str">
        <f>SP32!D37</f>
        <v>Heimmerer, Benjamin [34073]</v>
      </c>
      <c r="H19" s="22">
        <f>SP32!F37</f>
        <v>75</v>
      </c>
      <c r="J19" s="27">
        <f>SP32!C8</f>
        <v>6</v>
      </c>
      <c r="K19" s="18" t="str">
        <f>SP32!D8</f>
        <v>Heimmerer, Benjamin [34073]</v>
      </c>
      <c r="L19" s="22">
        <f>SP32!F8</f>
        <v>20</v>
      </c>
      <c r="M19" s="26" t="s">
        <v>62</v>
      </c>
    </row>
    <row r="20" spans="6:16" ht="13.5" thickBot="1">
      <c r="F20" s="19">
        <f>IF(SP32!L37&gt;0,SP32!L37,"")</f>
        <v>19</v>
      </c>
      <c r="G20" s="20" t="str">
        <f>SP32!E37</f>
        <v>Scholz, Federico [34523]</v>
      </c>
      <c r="H20" s="21">
        <f>SP32!G37</f>
        <v>28</v>
      </c>
      <c r="J20" s="19">
        <f>IF(SP32!L8&gt;0,SP32!L8,"")</f>
        <v>7</v>
      </c>
      <c r="K20" s="20" t="str">
        <f>SP32!E8</f>
        <v>Hirschbichler, Robert [22548]</v>
      </c>
      <c r="L20" s="21">
        <f>SP32!G8</f>
        <v>75</v>
      </c>
      <c r="N20" s="27">
        <f>SP32!C48</f>
        <v>46</v>
      </c>
      <c r="O20" s="18" t="str">
        <f>SP32!D48</f>
        <v>Hirschbichler, Robert [22548]</v>
      </c>
      <c r="P20" s="22">
        <f>SP32!F48</f>
        <v>75</v>
      </c>
    </row>
    <row r="21" spans="3:16" ht="13.5" thickBot="1">
      <c r="C21" s="24"/>
      <c r="J21" s="27">
        <f>SP32!C9</f>
        <v>7</v>
      </c>
      <c r="K21" s="18" t="str">
        <f>SP32!D9</f>
        <v>Voinescu, Florian [31589]</v>
      </c>
      <c r="L21" s="22">
        <f>SP32!F9</f>
        <v>0</v>
      </c>
      <c r="N21" s="19">
        <f>IF(SP32!L48&gt;0,SP32!L48,"")</f>
        <v>14</v>
      </c>
      <c r="O21" s="20" t="str">
        <f>SP32!E48</f>
        <v>Smith, Mike jun. [31558]</v>
      </c>
      <c r="P21" s="21">
        <f>SP32!G48</f>
        <v>2</v>
      </c>
    </row>
    <row r="22" spans="4:15" ht="13.5" thickBot="1">
      <c r="D22" s="27">
        <f>SP32!C44</f>
        <v>42</v>
      </c>
      <c r="E22" s="18" t="str">
        <f>SP32!D44</f>
        <v>Heimmerer, Benjamin [34073]</v>
      </c>
      <c r="F22" s="22">
        <f>SP32!F44</f>
        <v>75</v>
      </c>
      <c r="J22" s="19">
        <f>IF(SP32!L9&gt;0,SP32!L9,"")</f>
        <v>9</v>
      </c>
      <c r="K22" s="20" t="str">
        <f>SP32!E9</f>
        <v>Smith, Mike jun. [31558]</v>
      </c>
      <c r="L22" s="21">
        <f>SP32!G9</f>
        <v>75</v>
      </c>
      <c r="O22" s="25" t="s">
        <v>66</v>
      </c>
    </row>
    <row r="23" spans="4:14" ht="13.5" thickBot="1">
      <c r="D23" s="19">
        <f>IF(SP32!L44&gt;0,SP32!L44,"")</f>
        <v>16</v>
      </c>
      <c r="E23" s="20" t="str">
        <f>SP32!E44</f>
        <v>Reutter, Harald [20274]</v>
      </c>
      <c r="F23" s="21">
        <f>SP32!G44</f>
        <v>51</v>
      </c>
      <c r="H23" s="27">
        <f>SP32!C22</f>
        <v>20</v>
      </c>
      <c r="I23" s="18" t="str">
        <f>SP32!D22</f>
        <v>Voinescu, Florian [31589]</v>
      </c>
      <c r="J23" s="22">
        <f>SP32!F22</f>
        <v>75</v>
      </c>
      <c r="L23" s="27">
        <f>SP32!C30</f>
        <v>28</v>
      </c>
      <c r="M23" s="141" t="str">
        <f>SP32!D30</f>
        <v>Smith, Mike jun. [31558]</v>
      </c>
      <c r="N23" s="22">
        <f>SP32!F30</f>
        <v>75</v>
      </c>
    </row>
    <row r="24" spans="2:21" ht="13.5" thickBot="1">
      <c r="B24" s="27">
        <f>SP32!C52</f>
        <v>50</v>
      </c>
      <c r="C24" s="18" t="str">
        <f>SP32!D52</f>
        <v>Heimmerer, Benjamin [34073]</v>
      </c>
      <c r="D24" s="22">
        <f>SP32!F52</f>
        <v>75</v>
      </c>
      <c r="H24" s="19">
        <f>IF(SP32!L22&gt;0,SP32!L22,"")</f>
        <v>3</v>
      </c>
      <c r="I24" s="20" t="str">
        <f>SP32!E22</f>
        <v>Mayr, Stefan [14899]</v>
      </c>
      <c r="J24" s="21">
        <f>SP32!G22</f>
        <v>31</v>
      </c>
      <c r="L24" s="19">
        <f>IF(SP32!L30&gt;0,SP32!L30,"")</f>
        <v>7</v>
      </c>
      <c r="M24" s="143" t="str">
        <f>SP32!E30</f>
        <v>Braun, Dennis [39840]</v>
      </c>
      <c r="N24" s="21">
        <f>SP32!G30</f>
        <v>64</v>
      </c>
      <c r="P24" s="27">
        <f>SP32!C56</f>
        <v>54</v>
      </c>
      <c r="Q24" s="18" t="str">
        <f>SP32!D56</f>
        <v>Hirschbichler, Robert [22548]</v>
      </c>
      <c r="R24" s="22">
        <f>SP32!G57</f>
        <v>75</v>
      </c>
      <c r="T24" s="6"/>
      <c r="U24" s="24" t="str">
        <f>SP32!B61</f>
        <v>Platz 3</v>
      </c>
    </row>
    <row r="25" spans="2:22" ht="13.5" thickBot="1">
      <c r="B25" s="19">
        <f>IF(SP32!L52&gt;0,SP32!L52,"")</f>
        <v>17</v>
      </c>
      <c r="C25" s="20" t="str">
        <f>SP32!E52</f>
        <v>Dingler, Christian [20927]</v>
      </c>
      <c r="D25" s="21">
        <f>SP32!G52</f>
        <v>38</v>
      </c>
      <c r="F25" s="27">
        <f>SP32!C38</f>
        <v>36</v>
      </c>
      <c r="G25" s="18" t="str">
        <f>SP32!D38</f>
        <v>Voinescu, Florian [31589]</v>
      </c>
      <c r="H25" s="22">
        <f>SP32!F38</f>
        <v>73</v>
      </c>
      <c r="J25" s="27">
        <f>SP32!C10</f>
        <v>8</v>
      </c>
      <c r="K25" s="18" t="str">
        <f>SP32!D10</f>
        <v>Braun, Dennis [39840]</v>
      </c>
      <c r="L25" s="22">
        <f>SP32!F10</f>
        <v>75</v>
      </c>
      <c r="M25" s="26" t="s">
        <v>61</v>
      </c>
      <c r="P25" s="19"/>
      <c r="Q25" s="20" t="str">
        <f>SP32!E56</f>
        <v>Au-Yeung, Michael [24627]</v>
      </c>
      <c r="R25" s="21">
        <f>SP32!F56</f>
        <v>34</v>
      </c>
      <c r="T25" s="6"/>
      <c r="U25" s="65" t="s">
        <v>129</v>
      </c>
      <c r="V25" s="6"/>
    </row>
    <row r="26" spans="6:22" ht="13.5" thickBot="1">
      <c r="F26" s="19">
        <f>IF(SP32!L38&gt;0,SP32!L38,"")</f>
        <v>16</v>
      </c>
      <c r="G26" s="20" t="str">
        <f>SP32!E38</f>
        <v>Reutter, Harald [20274]</v>
      </c>
      <c r="H26" s="21">
        <f>SP32!G38</f>
        <v>75</v>
      </c>
      <c r="J26" s="19">
        <f>IF(SP32!L10&gt;0,SP32!L10,"")</f>
        <v>11</v>
      </c>
      <c r="K26" s="20" t="str">
        <f>SP32!E10</f>
        <v>Mayr, Stefan [14899]</v>
      </c>
      <c r="L26" s="21">
        <f>SP32!G10</f>
        <v>28</v>
      </c>
      <c r="T26" s="27" t="str">
        <f>SP32!C61</f>
        <v>leer</v>
      </c>
      <c r="U26" s="18" t="str">
        <f>SP32!D61</f>
        <v>Au-Yeung, Michael [24627]</v>
      </c>
      <c r="V26" s="22">
        <f>SP32!F61</f>
        <v>0</v>
      </c>
    </row>
    <row r="27" spans="5:22" ht="13.5" thickBot="1">
      <c r="E27" s="24"/>
      <c r="H27" s="24"/>
      <c r="J27" s="27">
        <f>SP32!C11</f>
        <v>9</v>
      </c>
      <c r="K27" s="18" t="str">
        <f>SP32!D11</f>
        <v>Höcht, Stefan [22445]</v>
      </c>
      <c r="L27" s="22">
        <f>SP32!F11</f>
        <v>53</v>
      </c>
      <c r="T27" s="19"/>
      <c r="U27" s="20" t="str">
        <f>SP32!E61</f>
        <v>Gruber, Stefan [30145]</v>
      </c>
      <c r="V27" s="21">
        <f>SP32!G61</f>
        <v>0</v>
      </c>
    </row>
    <row r="28" spans="10:16" ht="13.5" thickBot="1">
      <c r="J28" s="19">
        <f>IF(SP32!L11&gt;0,SP32!L11,"")</f>
        <v>13</v>
      </c>
      <c r="K28" s="20" t="str">
        <f>SP32!E11</f>
        <v>Uitz, Richard [16651]</v>
      </c>
      <c r="L28" s="21">
        <f>SP32!G11</f>
        <v>75</v>
      </c>
      <c r="P28" s="2"/>
    </row>
    <row r="29" spans="3:14" ht="13.5" thickBot="1">
      <c r="C29" s="24"/>
      <c r="H29" s="27">
        <f>SP32!C23</f>
        <v>21</v>
      </c>
      <c r="I29" s="18" t="str">
        <f>SP32!D23</f>
        <v>Höcht, Stefan [22445]</v>
      </c>
      <c r="J29" s="22">
        <f>SP32!F23</f>
        <v>72</v>
      </c>
      <c r="L29" s="27">
        <f>SP32!C31</f>
        <v>29</v>
      </c>
      <c r="M29" s="141" t="str">
        <f>SP32!D31</f>
        <v>Uitz, Richard [16651]</v>
      </c>
      <c r="N29" s="22">
        <f>SP32!F31</f>
        <v>75</v>
      </c>
    </row>
    <row r="30" spans="8:14" ht="13.5" thickBot="1">
      <c r="H30" s="19">
        <f>IF(SP32!L23&gt;0,SP32!L23,"")</f>
        <v>17</v>
      </c>
      <c r="I30" s="20" t="str">
        <f>SP32!E23</f>
        <v>Fuchs, Reinhard [25179]</v>
      </c>
      <c r="J30" s="21">
        <f>SP32!G23</f>
        <v>75</v>
      </c>
      <c r="L30" s="19">
        <f>IF(SP32!L31&gt;0,SP32!L31,"")</f>
        <v>13</v>
      </c>
      <c r="M30" s="143" t="str">
        <f>SP32!E31</f>
        <v>Reutter, Harald [20274]</v>
      </c>
      <c r="N30" s="21">
        <f>SP32!G31</f>
        <v>52</v>
      </c>
    </row>
    <row r="31" spans="5:13" ht="13.5" thickBot="1">
      <c r="E31" s="24"/>
      <c r="F31" s="27">
        <f>SP32!C39</f>
        <v>37</v>
      </c>
      <c r="G31" s="18" t="str">
        <f>SP32!D39</f>
        <v>Fuchs, Reinhard [25179]</v>
      </c>
      <c r="H31" s="22">
        <f>SP32!F39</f>
        <v>17</v>
      </c>
      <c r="J31" s="27">
        <f>SP32!C12</f>
        <v>10</v>
      </c>
      <c r="K31" s="18" t="str">
        <f>SP32!D12</f>
        <v>Fuchs, Reinhard [25179]</v>
      </c>
      <c r="L31" s="22">
        <f>SP32!F12</f>
        <v>69</v>
      </c>
      <c r="M31" s="26" t="s">
        <v>60</v>
      </c>
    </row>
    <row r="32" spans="6:16" ht="13.5" thickBot="1">
      <c r="F32" s="19">
        <f>IF(SP32!L39&gt;0,SP32!L39,"")</f>
        <v>17</v>
      </c>
      <c r="G32" s="20" t="str">
        <f>SP32!E39</f>
        <v>Braun, Dennis [39840]</v>
      </c>
      <c r="H32" s="21">
        <f>SP32!G39</f>
        <v>75</v>
      </c>
      <c r="J32" s="19">
        <f>IF(SP32!L12&gt;0,SP32!L12,"")</f>
        <v>14</v>
      </c>
      <c r="K32" s="20" t="str">
        <f>SP32!E12</f>
        <v>Reutter, Harald [20274]</v>
      </c>
      <c r="L32" s="21">
        <f>SP32!G12</f>
        <v>75</v>
      </c>
      <c r="N32" s="27">
        <f>SP32!C49</f>
        <v>47</v>
      </c>
      <c r="O32" s="18" t="str">
        <f>SP32!D49</f>
        <v>Uitz, Richard [16651]</v>
      </c>
      <c r="P32" s="22">
        <f>SP32!F49</f>
        <v>60</v>
      </c>
    </row>
    <row r="33" spans="10:30" ht="13.5" thickBot="1">
      <c r="J33" s="27">
        <f>SP32!C13</f>
        <v>11</v>
      </c>
      <c r="K33" s="18" t="str">
        <f>SP32!D13</f>
        <v>Scholz, Jürgen [35124]</v>
      </c>
      <c r="L33" s="22">
        <f>SP32!F13</f>
        <v>75</v>
      </c>
      <c r="N33" s="19">
        <f>IF(SP32!L49&gt;0,SP32!L49,"")</f>
        <v>9</v>
      </c>
      <c r="O33" s="20" t="str">
        <f>SP32!E49</f>
        <v>Scholz, Jürgen [35124]</v>
      </c>
      <c r="P33" s="21">
        <f>SP32!G49</f>
        <v>75</v>
      </c>
      <c r="U33" s="24" t="str">
        <f>SP32!B62</f>
        <v>Finale</v>
      </c>
      <c r="V33" s="2"/>
      <c r="AD33" s="6"/>
    </row>
    <row r="34" spans="4:30" ht="13.5" thickBot="1">
      <c r="D34" s="27">
        <f>SP32!C45</f>
        <v>43</v>
      </c>
      <c r="E34" s="18" t="str">
        <f>SP32!D45</f>
        <v>Braun, Dennis [39840]</v>
      </c>
      <c r="F34" s="22">
        <f>SP32!F45</f>
        <v>75</v>
      </c>
      <c r="J34" s="19">
        <f>IF(SP32!L13&gt;0,SP32!L13,"")</f>
        <v>15</v>
      </c>
      <c r="K34" s="20" t="str">
        <f>SP32!E13</f>
        <v>Schröter, Matthias [35127]</v>
      </c>
      <c r="L34" s="21">
        <f>SP32!G13</f>
        <v>63</v>
      </c>
      <c r="O34" s="25" t="s">
        <v>65</v>
      </c>
      <c r="T34" s="27">
        <f>SP32!C62</f>
        <v>59</v>
      </c>
      <c r="U34" s="18" t="str">
        <f>SP32!D62</f>
        <v>Kuloyants, Valery [34790]</v>
      </c>
      <c r="V34" s="22">
        <f>SP32!F62</f>
        <v>70</v>
      </c>
      <c r="AD34" s="6"/>
    </row>
    <row r="35" spans="4:30" ht="13.5" thickBot="1">
      <c r="D35" s="19">
        <f>IF(SP32!L45&gt;0,SP32!L45,"")</f>
        <v>19</v>
      </c>
      <c r="E35" s="20" t="str">
        <f>SP32!E45</f>
        <v>Schröter, Matthias [35127]</v>
      </c>
      <c r="F35" s="21">
        <f>SP32!G45</f>
        <v>20</v>
      </c>
      <c r="H35" s="27">
        <f>SP32!C24</f>
        <v>22</v>
      </c>
      <c r="I35" s="18" t="str">
        <f>SP32!D24</f>
        <v>Schröter, Matthias [35127]</v>
      </c>
      <c r="J35" s="22">
        <f>SP32!F24</f>
        <v>75</v>
      </c>
      <c r="L35" s="27">
        <f>SP32!C32</f>
        <v>30</v>
      </c>
      <c r="M35" s="141" t="str">
        <f>SP32!D32</f>
        <v>Scholz, Jürgen [35124]</v>
      </c>
      <c r="N35" s="22">
        <f>SP32!F32</f>
        <v>75</v>
      </c>
      <c r="R35" s="24"/>
      <c r="T35" s="19">
        <f>IF(SP32!L62&gt;0,SP32!L62,"")</f>
        <v>19</v>
      </c>
      <c r="U35" s="20" t="str">
        <f>SP32!E62</f>
        <v>Heimmerer, Benjamin [34073]</v>
      </c>
      <c r="V35" s="21">
        <f>SP32!G62</f>
        <v>75</v>
      </c>
      <c r="AD35" s="6"/>
    </row>
    <row r="36" spans="2:30" ht="13.5" thickBot="1">
      <c r="B36" s="27">
        <f>SP32!C53</f>
        <v>51</v>
      </c>
      <c r="C36" s="18" t="str">
        <f>SP32!D53</f>
        <v>Braun, Dennis [39840]</v>
      </c>
      <c r="D36" s="22">
        <f>SP32!F53</f>
        <v>30</v>
      </c>
      <c r="H36" s="19">
        <f>IF(SP32!L24&gt;0,SP32!L24,"")</f>
        <v>15</v>
      </c>
      <c r="I36" s="20" t="str">
        <f>SP32!E24</f>
        <v>Spahr, Alexander [29007]</v>
      </c>
      <c r="J36" s="21">
        <f>SP32!G24</f>
        <v>57</v>
      </c>
      <c r="L36" s="19">
        <f>IF(SP32!L32&gt;0,SP32!L32,"")</f>
        <v>9</v>
      </c>
      <c r="M36" s="143" t="str">
        <f>SP32!E32</f>
        <v>Scholz, Federico [34523]</v>
      </c>
      <c r="N36" s="21">
        <f>SP32!G32</f>
        <v>60</v>
      </c>
      <c r="P36" s="27">
        <f>SP32!C57</f>
        <v>55</v>
      </c>
      <c r="Q36" s="18" t="str">
        <f>SP32!D57</f>
        <v>Scholz, Jürgen [35124]</v>
      </c>
      <c r="R36" s="22">
        <f>SP32!F58</f>
        <v>61</v>
      </c>
      <c r="AA36" s="6"/>
      <c r="AB36" s="25"/>
      <c r="AC36" s="2"/>
      <c r="AD36" s="6"/>
    </row>
    <row r="37" spans="2:18" ht="13.5" thickBot="1">
      <c r="B37" s="19">
        <f>IF(SP32!L53&gt;0,SP32!L53,"")</f>
        <v>19</v>
      </c>
      <c r="C37" s="20" t="str">
        <f>SP32!E53</f>
        <v>Au-Yeung, Michael [24627]</v>
      </c>
      <c r="D37" s="21">
        <f>SP32!G53</f>
        <v>75</v>
      </c>
      <c r="F37" s="27">
        <f>SP32!C40</f>
        <v>38</v>
      </c>
      <c r="G37" s="18" t="str">
        <f>SP32!D40</f>
        <v>Schröter, Matthias [35127]</v>
      </c>
      <c r="H37" s="22">
        <f>SP32!F40</f>
        <v>75</v>
      </c>
      <c r="J37" s="27">
        <f>SP32!C14</f>
        <v>12</v>
      </c>
      <c r="K37" s="18" t="str">
        <f>SP32!D14</f>
        <v>Spahr, Alexander [29007]</v>
      </c>
      <c r="L37" s="22">
        <f>SP32!F14</f>
        <v>36</v>
      </c>
      <c r="M37" s="26" t="s">
        <v>59</v>
      </c>
      <c r="P37" s="19">
        <f>IF(SP32!L57&gt;0,SP32!L57,"")</f>
        <v>17</v>
      </c>
      <c r="Q37" s="20" t="str">
        <f>SP32!E57</f>
        <v>Heimmerer, Benjamin [34073]</v>
      </c>
      <c r="R37" s="21">
        <f>SP32!G55</f>
        <v>75</v>
      </c>
    </row>
    <row r="38" spans="6:12" ht="13.5" thickBot="1">
      <c r="F38" s="19">
        <f>IF(SP32!L40&gt;0,SP32!L40,"")</f>
        <v>18</v>
      </c>
      <c r="G38" s="20" t="str">
        <f>SP32!E40</f>
        <v>Schnürch, Martin [23070]</v>
      </c>
      <c r="H38" s="21">
        <f>SP32!G40</f>
        <v>32</v>
      </c>
      <c r="J38" s="19">
        <f>IF(SP32!L14&gt;0,SP32!L14,"")</f>
        <v>16</v>
      </c>
      <c r="K38" s="20" t="str">
        <f>SP32!E14</f>
        <v>Scholz, Federico [34523]</v>
      </c>
      <c r="L38" s="21">
        <f>SP32!G14</f>
        <v>75</v>
      </c>
    </row>
    <row r="39" spans="10:12" ht="13.5" thickBot="1">
      <c r="J39" s="27">
        <f>SP32!C15</f>
        <v>13</v>
      </c>
      <c r="K39" s="18" t="str">
        <f>SP32!D15</f>
        <v>Sohal, Tony [37510]</v>
      </c>
      <c r="L39" s="22">
        <f>SP32!F15</f>
        <v>75</v>
      </c>
    </row>
    <row r="40" spans="10:12" ht="13.5" thickBot="1">
      <c r="J40" s="19">
        <f>IF(SP32!L15&gt;0,SP32!L15,"")</f>
        <v>17</v>
      </c>
      <c r="K40" s="20" t="str">
        <f>SP32!E15</f>
        <v>Bachl, Norbert [16304]</v>
      </c>
      <c r="L40" s="21">
        <f>SP32!G15</f>
        <v>69</v>
      </c>
    </row>
    <row r="41" spans="8:20" ht="13.5" thickBot="1">
      <c r="H41" s="27">
        <f>SP32!C25</f>
        <v>23</v>
      </c>
      <c r="I41" s="18" t="str">
        <f>SP32!D25</f>
        <v>Bachl, Norbert [16304]</v>
      </c>
      <c r="J41" s="22">
        <f>SP32!F25</f>
        <v>75</v>
      </c>
      <c r="L41" s="27">
        <f>SP32!C33</f>
        <v>31</v>
      </c>
      <c r="M41" s="141" t="str">
        <f>SP32!D33</f>
        <v>Sohal, Tony [37510]</v>
      </c>
      <c r="N41" s="22">
        <f>SP32!F33</f>
        <v>65</v>
      </c>
      <c r="R41" s="27">
        <f>SP32!C60</f>
        <v>58</v>
      </c>
      <c r="S41" s="18" t="str">
        <f>SP32!D60</f>
        <v>Heimmerer, Benjamin [34073]</v>
      </c>
      <c r="T41" s="22">
        <f>SP32!F60</f>
        <v>75</v>
      </c>
    </row>
    <row r="42" spans="8:20" ht="13.5" thickBot="1">
      <c r="H42" s="19">
        <f>IF(SP32!L25&gt;0,SP32!L25,"")</f>
        <v>7</v>
      </c>
      <c r="I42" s="20" t="str">
        <f>SP32!E25</f>
        <v>Volkert, Frank [37753]</v>
      </c>
      <c r="J42" s="21">
        <f>SP32!G25</f>
        <v>50</v>
      </c>
      <c r="L42" s="19">
        <f>IF(SP32!L33&gt;0,SP32!L33,"")</f>
        <v>15</v>
      </c>
      <c r="M42" s="143" t="str">
        <f>SP32!E33</f>
        <v>Becherer, Thomas [25734]</v>
      </c>
      <c r="N42" s="21">
        <f>SP32!G33</f>
        <v>75</v>
      </c>
      <c r="R42" s="19"/>
      <c r="S42" s="20" t="str">
        <f>SP32!E60</f>
        <v>Gruber, Stefan [30145]</v>
      </c>
      <c r="T42" s="21">
        <f>SP32!G60</f>
        <v>2</v>
      </c>
    </row>
    <row r="43" spans="6:20" ht="13.5" thickBot="1">
      <c r="F43" s="27">
        <f>SP32!C41</f>
        <v>39</v>
      </c>
      <c r="G43" s="18" t="str">
        <f>SP32!D41</f>
        <v>Bachl, Norbert [16304]</v>
      </c>
      <c r="H43" s="22">
        <f>SP32!F41</f>
        <v>28</v>
      </c>
      <c r="J43" s="27">
        <f>SP32!C16</f>
        <v>14</v>
      </c>
      <c r="K43" s="18" t="str">
        <f>SP32!D16</f>
        <v>Becherer, Thomas [25734]</v>
      </c>
      <c r="L43" s="22">
        <f>SP32!F16</f>
        <v>75</v>
      </c>
      <c r="M43" s="26" t="s">
        <v>58</v>
      </c>
      <c r="R43" s="235"/>
      <c r="S43" s="233"/>
      <c r="T43" s="236"/>
    </row>
    <row r="44" spans="6:20" ht="13.5" thickBot="1">
      <c r="F44" s="19">
        <f>IF(SP32!L41&gt;0,SP32!L41,"")</f>
        <v>18</v>
      </c>
      <c r="G44" s="20" t="str">
        <f>SP32!E41</f>
        <v>Schmid, Andreas [18352]</v>
      </c>
      <c r="H44" s="21">
        <f>SP32!G41</f>
        <v>75</v>
      </c>
      <c r="J44" s="19">
        <f>IF(SP32!L16&gt;0,SP32!L16,"")</f>
        <v>18</v>
      </c>
      <c r="K44" s="20" t="str">
        <f>SP32!E16</f>
        <v>Volkert, Frank [37753]</v>
      </c>
      <c r="L44" s="21">
        <f>SP32!G16</f>
        <v>61</v>
      </c>
      <c r="N44" s="27">
        <f>SP32!C50</f>
        <v>48</v>
      </c>
      <c r="O44" s="18" t="str">
        <f>SP32!D50</f>
        <v>Becherer, Thomas [25734]</v>
      </c>
      <c r="P44" s="22">
        <f>SP32!F50</f>
        <v>75</v>
      </c>
      <c r="R44" s="236"/>
      <c r="S44" s="233"/>
      <c r="T44" s="236"/>
    </row>
    <row r="45" spans="10:20" ht="13.5" thickBot="1">
      <c r="J45" s="27">
        <f>SP32!C17</f>
        <v>15</v>
      </c>
      <c r="K45" s="18" t="str">
        <f>SP32!D17</f>
        <v>Au-Yeung, Michael [24627]</v>
      </c>
      <c r="L45" s="22">
        <f>SP32!F17</f>
        <v>75</v>
      </c>
      <c r="N45" s="19">
        <f>IF(SP32!L50&gt;0,SP32!L50,"")</f>
        <v>17</v>
      </c>
      <c r="O45" s="20" t="str">
        <f>SP32!E50</f>
        <v>Au-Yeung, Michael [24627]</v>
      </c>
      <c r="P45" s="21">
        <f>SP32!G50</f>
        <v>29</v>
      </c>
      <c r="R45" s="233"/>
      <c r="S45" s="234"/>
      <c r="T45" s="233"/>
    </row>
    <row r="46" spans="4:20" ht="13.5" thickBot="1">
      <c r="D46" s="27">
        <f>SP32!C46</f>
        <v>44</v>
      </c>
      <c r="E46" s="18" t="str">
        <f>SP32!D46</f>
        <v>Schmid, Andreas [18352]</v>
      </c>
      <c r="F46" s="22">
        <f>SP32!F46</f>
        <v>-2</v>
      </c>
      <c r="J46" s="19">
        <f>IF(SP32!L17&gt;0,SP32!L17,"")</f>
        <v>19</v>
      </c>
      <c r="K46" s="20" t="str">
        <f>SP32!E17</f>
        <v>Kabelin, Sven [24986]</v>
      </c>
      <c r="L46" s="21">
        <f>SP32!G17</f>
        <v>61</v>
      </c>
      <c r="O46" s="25" t="s">
        <v>64</v>
      </c>
      <c r="R46" s="235"/>
      <c r="S46" s="233"/>
      <c r="T46" s="236"/>
    </row>
    <row r="47" spans="4:20" ht="13.5" thickBot="1">
      <c r="D47" s="19">
        <f>IF(SP32!L46&gt;0,SP32!L46,"")</f>
        <v>16</v>
      </c>
      <c r="E47" s="20" t="str">
        <f>SP32!E46</f>
        <v>Kuloyants, Valery [34790]</v>
      </c>
      <c r="F47" s="21">
        <f>SP32!G46</f>
        <v>75</v>
      </c>
      <c r="H47" s="27">
        <f>SP32!C26</f>
        <v>24</v>
      </c>
      <c r="I47" s="18" t="str">
        <f>SP32!D26</f>
        <v>Kabelin, Sven [24986]</v>
      </c>
      <c r="J47" s="22">
        <f>SP32!F26</f>
        <v>75</v>
      </c>
      <c r="L47" s="27">
        <f>SP32!C34</f>
        <v>32</v>
      </c>
      <c r="M47" s="141" t="str">
        <f>SP32!D34</f>
        <v>Au-Yeung, Michael [24627]</v>
      </c>
      <c r="N47" s="22">
        <f>SP32!F34</f>
        <v>75</v>
      </c>
      <c r="R47" s="236"/>
      <c r="S47" s="233"/>
      <c r="T47" s="236"/>
    </row>
    <row r="48" spans="2:20" ht="13.5" thickBot="1">
      <c r="B48" s="27">
        <f>SP32!C54</f>
        <v>52</v>
      </c>
      <c r="C48" s="18" t="str">
        <f>SP32!D54</f>
        <v>Kuloyants, Valery [34790]</v>
      </c>
      <c r="D48" s="22">
        <f>SP32!F54</f>
        <v>75</v>
      </c>
      <c r="H48" s="19">
        <f>IF(SP32!L26&gt;0,SP32!L26,"")</f>
        <v>16</v>
      </c>
      <c r="I48" s="20" t="str">
        <f>SP32!E26</f>
        <v>Guggemos, Florian [37921]</v>
      </c>
      <c r="J48" s="21">
        <f>SP32!G26</f>
        <v>69</v>
      </c>
      <c r="L48" s="19">
        <f>IF(SP32!L34&gt;0,SP32!L34,"")</f>
        <v>20</v>
      </c>
      <c r="M48" s="143" t="str">
        <f>SP32!E34</f>
        <v>Gruber, Stefan [30145]</v>
      </c>
      <c r="N48" s="21">
        <f>SP32!G34</f>
        <v>56</v>
      </c>
      <c r="P48" s="27">
        <f>SP32!C58</f>
        <v>56</v>
      </c>
      <c r="Q48" s="18" t="str">
        <f>SP32!D58</f>
        <v>Becherer, Thomas [25734]</v>
      </c>
      <c r="R48" s="22">
        <f>SP32!G58</f>
        <v>75</v>
      </c>
      <c r="S48" s="236"/>
      <c r="T48" s="233"/>
    </row>
    <row r="49" spans="2:18" ht="13.5" thickBot="1">
      <c r="B49" s="19">
        <f>IF(SP32!L54&gt;0,SP32!L54,"")</f>
        <v>16</v>
      </c>
      <c r="C49" s="20" t="str">
        <f>SP32!E54</f>
        <v>Uitz, Richard [16651]</v>
      </c>
      <c r="D49" s="21">
        <f>SP32!G54</f>
        <v>-2</v>
      </c>
      <c r="F49" s="27">
        <f>SP32!C42</f>
        <v>40</v>
      </c>
      <c r="G49" s="18" t="str">
        <f>SP32!D42</f>
        <v>Kabelin, Sven [24986]</v>
      </c>
      <c r="H49" s="22">
        <f>SP32!F42</f>
        <v>70</v>
      </c>
      <c r="J49" s="27">
        <f>SP32!C18</f>
        <v>16</v>
      </c>
      <c r="K49" s="18" t="str">
        <f>SP32!D18</f>
        <v>Gruber, Stefan [30145]</v>
      </c>
      <c r="L49" s="22">
        <f>SP32!F18</f>
        <v>75</v>
      </c>
      <c r="M49" s="26" t="s">
        <v>57</v>
      </c>
      <c r="P49" s="19">
        <f>IF(SP32!L58&gt;0,SP32!L58,"")</f>
        <v>19</v>
      </c>
      <c r="Q49" s="20" t="str">
        <f>SP32!E58</f>
        <v>Gruber, Stefan [30145]</v>
      </c>
      <c r="R49" s="21">
        <f>SP32!F55</f>
        <v>15</v>
      </c>
    </row>
    <row r="50" spans="6:12" ht="13.5" thickBot="1">
      <c r="F50" s="19">
        <f>IF(SP32!L42&gt;0,SP32!L42,"")</f>
        <v>13</v>
      </c>
      <c r="G50" s="20" t="str">
        <f>SP32!E42</f>
        <v>Kuloyants, Valery [34790]</v>
      </c>
      <c r="H50" s="21">
        <f>SP32!G42</f>
        <v>75</v>
      </c>
      <c r="J50" s="19">
        <f>IF(SP32!L18&gt;0,SP32!L18,"")</f>
        <v>20</v>
      </c>
      <c r="K50" s="20" t="str">
        <f>SP32!E18</f>
        <v>Guggemos, Florian [37921]</v>
      </c>
      <c r="L50" s="21">
        <f>SP32!G18</f>
        <v>27</v>
      </c>
    </row>
    <row r="51" ht="12.75">
      <c r="R51" s="24"/>
    </row>
    <row r="54" ht="12.75">
      <c r="R54" s="26"/>
    </row>
  </sheetData>
  <sheetProtection sheet="1" objects="1" scenarios="1"/>
  <printOptions/>
  <pageMargins left="0.787401575" right="0.787401575" top="0.984251969" bottom="0.984251969" header="0.4921259845" footer="0.4921259845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2:J14"/>
  <sheetViews>
    <sheetView showGridLines="0" showRowColHeaders="0" showZeros="0" showOutlineSymbols="0" zoomScale="150" zoomScaleNormal="150" zoomScalePageLayoutView="0" workbookViewId="0" topLeftCell="A1">
      <selection activeCell="E11" sqref="E11"/>
    </sheetView>
  </sheetViews>
  <sheetFormatPr defaultColWidth="11.421875" defaultRowHeight="12.75"/>
  <cols>
    <col min="1" max="1" width="11.140625" style="0" customWidth="1"/>
    <col min="4" max="4" width="8.7109375" style="0" customWidth="1"/>
    <col min="5" max="5" width="3.421875" style="0" customWidth="1"/>
    <col min="8" max="8" width="8.7109375" style="0" customWidth="1"/>
    <col min="9" max="9" width="13.7109375" style="0" customWidth="1"/>
  </cols>
  <sheetData>
    <row r="1" ht="12" customHeight="1"/>
    <row r="2" spans="2:8" ht="30">
      <c r="B2" s="274">
        <f>Auslosung_Turnierdaten!G43</f>
        <v>0</v>
      </c>
      <c r="C2" s="274"/>
      <c r="D2" s="274"/>
      <c r="E2" s="274"/>
      <c r="F2" s="274"/>
      <c r="G2" s="274"/>
      <c r="H2" s="274"/>
    </row>
    <row r="3" spans="2:8" ht="12.75">
      <c r="B3" s="275">
        <f>Auslosung_Turnierdaten!G45</f>
        <v>0</v>
      </c>
      <c r="C3" s="276"/>
      <c r="D3" s="276"/>
      <c r="E3" s="276"/>
      <c r="F3" s="276"/>
      <c r="G3" s="276"/>
      <c r="H3" s="276"/>
    </row>
    <row r="4" spans="2:8" ht="15">
      <c r="B4" s="277">
        <f>Auslosung_Turnierdaten!G44</f>
        <v>0</v>
      </c>
      <c r="C4" s="277"/>
      <c r="D4" s="277"/>
      <c r="E4" s="277"/>
      <c r="F4" s="277"/>
      <c r="G4" s="277"/>
      <c r="H4" s="277"/>
    </row>
    <row r="5" spans="2:8" ht="15">
      <c r="B5" s="32"/>
      <c r="C5" s="32"/>
      <c r="D5" s="32"/>
      <c r="E5" s="32"/>
      <c r="F5" s="32"/>
      <c r="G5" s="32"/>
      <c r="H5" s="32"/>
    </row>
    <row r="6" spans="2:5" ht="18">
      <c r="B6" s="28"/>
      <c r="C6" s="28"/>
      <c r="D6" s="28"/>
      <c r="E6" s="28"/>
    </row>
    <row r="7" spans="2:10" s="34" customFormat="1" ht="24.75" customHeight="1">
      <c r="B7" s="279" t="s">
        <v>72</v>
      </c>
      <c r="C7" s="280"/>
      <c r="D7" s="37">
        <v>41</v>
      </c>
      <c r="E7" s="35"/>
      <c r="F7" s="279" t="s">
        <v>67</v>
      </c>
      <c r="G7" s="280"/>
      <c r="H7" s="38">
        <f>VLOOKUP($D$7,sp32,10,0)</f>
        <v>20</v>
      </c>
      <c r="I7" s="36"/>
      <c r="J7" s="36"/>
    </row>
    <row r="8" ht="18">
      <c r="C8" s="28"/>
    </row>
    <row r="9" spans="2:8" ht="23.25">
      <c r="B9" s="278" t="str">
        <f>VLOOKUP($D$7,sp32,2,0)</f>
        <v>Gruber, Stefan [30145]</v>
      </c>
      <c r="C9" s="278"/>
      <c r="D9" s="278"/>
      <c r="E9" s="30" t="s">
        <v>68</v>
      </c>
      <c r="F9" s="278" t="str">
        <f>VLOOKUP($D$7,sp32,3,0)</f>
        <v>Meister, Martin [19054]</v>
      </c>
      <c r="G9" s="278"/>
      <c r="H9" s="278"/>
    </row>
    <row r="10" spans="2:8" ht="14.25" customHeight="1">
      <c r="B10" s="273" t="s">
        <v>70</v>
      </c>
      <c r="C10" s="273"/>
      <c r="D10" s="273"/>
      <c r="E10" s="33"/>
      <c r="F10" s="273" t="s">
        <v>71</v>
      </c>
      <c r="G10" s="273"/>
      <c r="H10" s="273"/>
    </row>
    <row r="11" spans="2:8" ht="28.5" customHeight="1">
      <c r="B11" s="272" t="s">
        <v>69</v>
      </c>
      <c r="C11" s="272"/>
      <c r="D11" s="272"/>
      <c r="E11" s="30" t="s">
        <v>68</v>
      </c>
      <c r="F11" s="272" t="s">
        <v>69</v>
      </c>
      <c r="G11" s="272"/>
      <c r="H11" s="272"/>
    </row>
    <row r="12" spans="2:8" ht="14.25" customHeight="1">
      <c r="B12" s="29"/>
      <c r="C12" s="29"/>
      <c r="D12" s="29"/>
      <c r="E12" s="30"/>
      <c r="F12" s="29"/>
      <c r="G12" s="29"/>
      <c r="H12" s="29"/>
    </row>
    <row r="13" spans="1:10" ht="12.75">
      <c r="A13" s="271" t="s">
        <v>73</v>
      </c>
      <c r="B13" s="271"/>
      <c r="C13" s="271"/>
      <c r="D13" s="271"/>
      <c r="E13" s="271"/>
      <c r="F13" s="271"/>
      <c r="G13" s="271"/>
      <c r="H13" s="271"/>
      <c r="I13" s="271"/>
      <c r="J13" s="31"/>
    </row>
    <row r="14" spans="1:9" ht="12.75">
      <c r="A14" s="271"/>
      <c r="B14" s="271"/>
      <c r="C14" s="271"/>
      <c r="D14" s="271"/>
      <c r="E14" s="271"/>
      <c r="F14" s="271"/>
      <c r="G14" s="271"/>
      <c r="H14" s="271"/>
      <c r="I14" s="271"/>
    </row>
  </sheetData>
  <sheetProtection/>
  <mergeCells count="13">
    <mergeCell ref="B2:H2"/>
    <mergeCell ref="B3:H3"/>
    <mergeCell ref="B4:H4"/>
    <mergeCell ref="B9:D9"/>
    <mergeCell ref="F9:H9"/>
    <mergeCell ref="B7:C7"/>
    <mergeCell ref="F7:G7"/>
    <mergeCell ref="A13:I13"/>
    <mergeCell ref="B11:D11"/>
    <mergeCell ref="F11:H11"/>
    <mergeCell ref="A14:I14"/>
    <mergeCell ref="B10:D10"/>
    <mergeCell ref="F10:H10"/>
  </mergeCells>
  <printOptions horizontalCentered="1" verticalCentered="1"/>
  <pageMargins left="0.7874015748031497" right="0.7874015748031497" top="0.1968503937007874" bottom="0.1968503937007874" header="0.5118110236220472" footer="0.5118110236220472"/>
  <pageSetup fitToHeight="1" fitToWidth="1" horizontalDpi="600" verticalDpi="600" orientation="landscape" paperSize="11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B1:O66"/>
  <sheetViews>
    <sheetView showGridLines="0" showRowColHeaders="0" showOutlineSymbols="0" zoomScale="75" zoomScaleNormal="75" zoomScalePageLayoutView="0" workbookViewId="0" topLeftCell="A1">
      <selection activeCell="P15" sqref="P15"/>
    </sheetView>
  </sheetViews>
  <sheetFormatPr defaultColWidth="11.421875" defaultRowHeight="12.75"/>
  <cols>
    <col min="1" max="1" width="8.140625" style="2" customWidth="1"/>
    <col min="2" max="3" width="4.7109375" style="2" customWidth="1"/>
    <col min="4" max="4" width="18.8515625" style="2" bestFit="1" customWidth="1"/>
    <col min="5" max="5" width="19.8515625" style="2" bestFit="1" customWidth="1"/>
    <col min="6" max="6" width="9.140625" style="2" hidden="1" customWidth="1"/>
    <col min="7" max="7" width="7.00390625" style="2" bestFit="1" customWidth="1"/>
    <col min="8" max="8" width="6.8515625" style="2" customWidth="1"/>
    <col min="9" max="9" width="3.7109375" style="2" customWidth="1"/>
    <col min="10" max="10" width="3.57421875" style="2" customWidth="1"/>
    <col min="11" max="11" width="5.00390625" style="2" customWidth="1"/>
    <col min="12" max="12" width="5.28125" style="5" customWidth="1"/>
    <col min="13" max="13" width="8.7109375" style="2" bestFit="1" customWidth="1"/>
    <col min="14" max="14" width="5.8515625" style="2" customWidth="1"/>
    <col min="15" max="15" width="5.57421875" style="2" customWidth="1"/>
    <col min="16" max="16384" width="11.421875" style="2" customWidth="1"/>
  </cols>
  <sheetData>
    <row r="1" ht="16.5" thickBot="1">
      <c r="D1" s="202">
        <f>IF(Auslosung_Turnierdaten!G43="","",Auslosung_Turnierdaten!G43)&amp;IF(Auslosung_Turnierdaten!G44="",""," - "&amp;Auslosung_Turnierdaten!G44)</f>
      </c>
    </row>
    <row r="2" spans="3:15" ht="13.5" thickBot="1">
      <c r="C2" s="145" t="s">
        <v>4</v>
      </c>
      <c r="D2" s="242" t="str">
        <f>SP32!W35</f>
        <v>Name, Vorname</v>
      </c>
      <c r="E2" s="243" t="str">
        <f>SP32!X35</f>
        <v>Verein</v>
      </c>
      <c r="F2" s="243" t="str">
        <f>SP32!Y35</f>
        <v>Verein_Nr</v>
      </c>
      <c r="G2" s="243" t="str">
        <f>SP32!Z35</f>
        <v>Lfd_Nr</v>
      </c>
      <c r="H2" s="243" t="str">
        <f>SP32!AA35</f>
        <v>Punkte</v>
      </c>
      <c r="I2" s="243" t="str">
        <f>SP32!AB35</f>
        <v>GP</v>
      </c>
      <c r="J2" s="243" t="str">
        <f>SP32!AC35</f>
        <v>VP</v>
      </c>
      <c r="K2" s="243" t="str">
        <f>SP32!AD35</f>
        <v>Points</v>
      </c>
      <c r="L2" s="243" t="str">
        <f>SP32!AE35</f>
        <v>Aufn</v>
      </c>
      <c r="M2" s="243" t="str">
        <f>SP32!AF35</f>
        <v>GD</v>
      </c>
      <c r="N2" s="53" t="str">
        <f>IF(SUM(N3:N34)=0,"","BED")</f>
        <v>BED</v>
      </c>
      <c r="O2" s="244" t="str">
        <f>IF(SUM(O3:O34)=0,"","HS")</f>
        <v>HS</v>
      </c>
    </row>
    <row r="3" spans="3:15" ht="12.75">
      <c r="C3" s="146">
        <v>1</v>
      </c>
      <c r="D3" s="10" t="s">
        <v>198</v>
      </c>
      <c r="E3" s="8" t="s">
        <v>182</v>
      </c>
      <c r="F3" s="8">
        <v>0</v>
      </c>
      <c r="G3" s="8">
        <v>0</v>
      </c>
      <c r="H3" s="11">
        <v>21</v>
      </c>
      <c r="I3" s="11">
        <v>7</v>
      </c>
      <c r="J3" s="11">
        <v>1</v>
      </c>
      <c r="K3" s="11">
        <v>545</v>
      </c>
      <c r="L3" s="11">
        <v>70</v>
      </c>
      <c r="M3" s="237">
        <v>7.785714285714286</v>
      </c>
      <c r="N3" s="245">
        <v>18.75</v>
      </c>
      <c r="O3" s="246">
        <v>70</v>
      </c>
    </row>
    <row r="4" spans="3:15" ht="12.75">
      <c r="C4" s="147">
        <v>2</v>
      </c>
      <c r="D4" s="12" t="s">
        <v>181</v>
      </c>
      <c r="E4" s="4" t="s">
        <v>182</v>
      </c>
      <c r="F4" s="4">
        <v>0</v>
      </c>
      <c r="G4" s="4">
        <v>0</v>
      </c>
      <c r="H4" s="9">
        <v>18</v>
      </c>
      <c r="I4" s="9">
        <v>6</v>
      </c>
      <c r="J4" s="9">
        <v>2</v>
      </c>
      <c r="K4" s="9">
        <v>584</v>
      </c>
      <c r="L4" s="9">
        <v>62</v>
      </c>
      <c r="M4" s="238">
        <v>9.419354838709678</v>
      </c>
      <c r="N4" s="240">
        <v>75</v>
      </c>
      <c r="O4" s="247">
        <v>75</v>
      </c>
    </row>
    <row r="5" spans="3:15" ht="12.75">
      <c r="C5" s="147">
        <v>3</v>
      </c>
      <c r="D5" s="12" t="s">
        <v>206</v>
      </c>
      <c r="E5" s="4" t="s">
        <v>207</v>
      </c>
      <c r="F5" s="4">
        <v>0</v>
      </c>
      <c r="G5" s="4">
        <v>0</v>
      </c>
      <c r="H5" s="9">
        <v>15</v>
      </c>
      <c r="I5" s="9">
        <v>5</v>
      </c>
      <c r="J5" s="9">
        <v>2</v>
      </c>
      <c r="K5" s="9">
        <v>433</v>
      </c>
      <c r="L5" s="9">
        <v>66</v>
      </c>
      <c r="M5" s="238">
        <v>6.5606060606060606</v>
      </c>
      <c r="N5" s="240">
        <v>18.75</v>
      </c>
      <c r="O5" s="247">
        <v>43</v>
      </c>
    </row>
    <row r="6" spans="3:15" ht="12.75">
      <c r="C6" s="147">
        <v>3</v>
      </c>
      <c r="D6" s="12" t="s">
        <v>193</v>
      </c>
      <c r="E6" s="4" t="s">
        <v>182</v>
      </c>
      <c r="F6" s="4">
        <v>0</v>
      </c>
      <c r="G6" s="4">
        <v>0</v>
      </c>
      <c r="H6" s="9">
        <v>15</v>
      </c>
      <c r="I6" s="9">
        <v>4</v>
      </c>
      <c r="J6" s="9">
        <v>2</v>
      </c>
      <c r="K6" s="9">
        <v>378</v>
      </c>
      <c r="L6" s="9">
        <v>44</v>
      </c>
      <c r="M6" s="238">
        <v>8.590909090909092</v>
      </c>
      <c r="N6" s="240">
        <v>12.5</v>
      </c>
      <c r="O6" s="247">
        <v>33</v>
      </c>
    </row>
    <row r="7" spans="3:15" ht="12.75">
      <c r="C7" s="147">
        <v>5</v>
      </c>
      <c r="D7" s="12" t="s">
        <v>222</v>
      </c>
      <c r="E7" s="4" t="s">
        <v>186</v>
      </c>
      <c r="F7" s="4">
        <v>0</v>
      </c>
      <c r="G7" s="4">
        <v>0</v>
      </c>
      <c r="H7" s="9">
        <v>12</v>
      </c>
      <c r="I7" s="9">
        <v>3</v>
      </c>
      <c r="J7" s="9">
        <v>1</v>
      </c>
      <c r="K7" s="9">
        <v>259</v>
      </c>
      <c r="L7" s="9">
        <v>28</v>
      </c>
      <c r="M7" s="238">
        <v>9.25</v>
      </c>
      <c r="N7" s="240">
        <v>12.5</v>
      </c>
      <c r="O7" s="247">
        <v>43</v>
      </c>
    </row>
    <row r="8" spans="3:15" ht="12.75">
      <c r="C8" s="147">
        <v>5</v>
      </c>
      <c r="D8" s="12" t="s">
        <v>194</v>
      </c>
      <c r="E8" s="4" t="s">
        <v>195</v>
      </c>
      <c r="F8" s="4">
        <v>0</v>
      </c>
      <c r="G8" s="4">
        <v>0</v>
      </c>
      <c r="H8" s="9">
        <v>12</v>
      </c>
      <c r="I8" s="9">
        <v>3</v>
      </c>
      <c r="J8" s="9">
        <v>1</v>
      </c>
      <c r="K8" s="9">
        <v>240</v>
      </c>
      <c r="L8" s="9">
        <v>42</v>
      </c>
      <c r="M8" s="238">
        <v>5.714285714285714</v>
      </c>
      <c r="N8" s="240">
        <v>10.714285714285714</v>
      </c>
      <c r="O8" s="247">
        <v>45</v>
      </c>
    </row>
    <row r="9" spans="3:15" ht="12.75">
      <c r="C9" s="147">
        <v>5</v>
      </c>
      <c r="D9" s="12" t="s">
        <v>191</v>
      </c>
      <c r="E9" s="4" t="s">
        <v>188</v>
      </c>
      <c r="F9" s="4">
        <v>0</v>
      </c>
      <c r="G9" s="4">
        <v>0</v>
      </c>
      <c r="H9" s="9">
        <v>12</v>
      </c>
      <c r="I9" s="9">
        <v>3</v>
      </c>
      <c r="J9" s="9">
        <v>1</v>
      </c>
      <c r="K9" s="9">
        <v>254</v>
      </c>
      <c r="L9" s="9">
        <v>74</v>
      </c>
      <c r="M9" s="238">
        <v>3.4324324324324325</v>
      </c>
      <c r="N9" s="240">
        <v>4.411764705882353</v>
      </c>
      <c r="O9" s="247">
        <v>27</v>
      </c>
    </row>
    <row r="10" spans="3:15" ht="12.75">
      <c r="C10" s="147">
        <v>5</v>
      </c>
      <c r="D10" s="12" t="s">
        <v>199</v>
      </c>
      <c r="E10" s="4" t="s">
        <v>190</v>
      </c>
      <c r="F10" s="4">
        <v>0</v>
      </c>
      <c r="G10" s="4">
        <v>0</v>
      </c>
      <c r="H10" s="9">
        <v>12</v>
      </c>
      <c r="I10" s="9">
        <v>3</v>
      </c>
      <c r="J10" s="9">
        <v>1</v>
      </c>
      <c r="K10" s="9">
        <v>286</v>
      </c>
      <c r="L10" s="9">
        <v>90</v>
      </c>
      <c r="M10" s="238">
        <v>3.1777777777777776</v>
      </c>
      <c r="N10" s="240">
        <v>9.375</v>
      </c>
      <c r="O10" s="247">
        <v>16</v>
      </c>
    </row>
    <row r="11" spans="3:15" ht="12.75">
      <c r="C11" s="147">
        <v>9</v>
      </c>
      <c r="D11" s="12" t="s">
        <v>204</v>
      </c>
      <c r="E11" s="4" t="s">
        <v>205</v>
      </c>
      <c r="F11" s="4">
        <v>0</v>
      </c>
      <c r="G11" s="4">
        <v>0</v>
      </c>
      <c r="H11" s="9">
        <v>9</v>
      </c>
      <c r="I11" s="9">
        <v>3</v>
      </c>
      <c r="J11" s="9">
        <v>2</v>
      </c>
      <c r="K11" s="9">
        <v>319</v>
      </c>
      <c r="L11" s="9">
        <v>57</v>
      </c>
      <c r="M11" s="238">
        <v>5.5964912280701755</v>
      </c>
      <c r="N11" s="240">
        <v>10.714285714285714</v>
      </c>
      <c r="O11" s="247">
        <v>43</v>
      </c>
    </row>
    <row r="12" spans="3:15" ht="12.75">
      <c r="C12" s="147">
        <v>9</v>
      </c>
      <c r="D12" s="12" t="s">
        <v>216</v>
      </c>
      <c r="E12" s="4" t="s">
        <v>217</v>
      </c>
      <c r="F12" s="4">
        <v>0</v>
      </c>
      <c r="G12" s="4">
        <v>0</v>
      </c>
      <c r="H12" s="9">
        <v>9</v>
      </c>
      <c r="I12" s="9">
        <v>2</v>
      </c>
      <c r="J12" s="9">
        <v>2</v>
      </c>
      <c r="K12" s="9">
        <v>161</v>
      </c>
      <c r="L12" s="9">
        <v>35</v>
      </c>
      <c r="M12" s="238">
        <v>4.6</v>
      </c>
      <c r="N12" s="240">
        <v>3.260869565217391</v>
      </c>
      <c r="O12" s="247">
        <v>20</v>
      </c>
    </row>
    <row r="13" spans="3:15" ht="12.75">
      <c r="C13" s="147">
        <v>9</v>
      </c>
      <c r="D13" s="12" t="s">
        <v>225</v>
      </c>
      <c r="E13" s="4" t="s">
        <v>182</v>
      </c>
      <c r="F13" s="4">
        <v>0</v>
      </c>
      <c r="G13" s="4">
        <v>0</v>
      </c>
      <c r="H13" s="9">
        <v>9</v>
      </c>
      <c r="I13" s="9">
        <v>2</v>
      </c>
      <c r="J13" s="9">
        <v>2</v>
      </c>
      <c r="K13" s="9">
        <v>222</v>
      </c>
      <c r="L13" s="9">
        <v>56</v>
      </c>
      <c r="M13" s="238">
        <v>3.9642857142857144</v>
      </c>
      <c r="N13" s="240">
        <v>5.357142857142857</v>
      </c>
      <c r="O13" s="247">
        <v>29</v>
      </c>
    </row>
    <row r="14" spans="3:15" ht="12.75">
      <c r="C14" s="147">
        <v>9</v>
      </c>
      <c r="D14" s="12" t="s">
        <v>210</v>
      </c>
      <c r="E14" s="4" t="s">
        <v>201</v>
      </c>
      <c r="F14" s="4">
        <v>0</v>
      </c>
      <c r="G14" s="4">
        <v>0</v>
      </c>
      <c r="H14" s="9">
        <v>9</v>
      </c>
      <c r="I14" s="9">
        <v>2</v>
      </c>
      <c r="J14" s="9">
        <v>2</v>
      </c>
      <c r="K14" s="9">
        <v>208</v>
      </c>
      <c r="L14" s="9">
        <v>65</v>
      </c>
      <c r="M14" s="238">
        <v>3.2</v>
      </c>
      <c r="N14" s="240">
        <v>4.6875</v>
      </c>
      <c r="O14" s="247">
        <v>38</v>
      </c>
    </row>
    <row r="15" spans="3:15" ht="12.75">
      <c r="C15" s="147">
        <v>13</v>
      </c>
      <c r="D15" s="12" t="s">
        <v>214</v>
      </c>
      <c r="E15" s="4" t="s">
        <v>184</v>
      </c>
      <c r="F15" s="4">
        <v>0</v>
      </c>
      <c r="G15" s="4">
        <v>0</v>
      </c>
      <c r="H15" s="9">
        <v>6</v>
      </c>
      <c r="I15" s="9">
        <v>2</v>
      </c>
      <c r="J15" s="9">
        <v>2</v>
      </c>
      <c r="K15" s="9">
        <v>198</v>
      </c>
      <c r="L15" s="9">
        <v>36</v>
      </c>
      <c r="M15" s="238">
        <v>5.5</v>
      </c>
      <c r="N15" s="240">
        <v>3.75</v>
      </c>
      <c r="O15" s="247">
        <v>20</v>
      </c>
    </row>
    <row r="16" spans="3:15" ht="12.75">
      <c r="C16" s="147">
        <v>13</v>
      </c>
      <c r="D16" s="12" t="s">
        <v>189</v>
      </c>
      <c r="E16" s="4" t="s">
        <v>190</v>
      </c>
      <c r="F16" s="4">
        <v>0</v>
      </c>
      <c r="G16" s="4">
        <v>0</v>
      </c>
      <c r="H16" s="9">
        <v>6</v>
      </c>
      <c r="I16" s="9">
        <v>2</v>
      </c>
      <c r="J16" s="9">
        <v>2</v>
      </c>
      <c r="K16" s="9">
        <v>188</v>
      </c>
      <c r="L16" s="9">
        <v>44</v>
      </c>
      <c r="M16" s="238">
        <v>4.2727272727272725</v>
      </c>
      <c r="N16" s="240">
        <v>6.818181818181818</v>
      </c>
      <c r="O16" s="247">
        <v>34</v>
      </c>
    </row>
    <row r="17" spans="3:15" ht="12.75">
      <c r="C17" s="147">
        <v>13</v>
      </c>
      <c r="D17" s="12" t="s">
        <v>215</v>
      </c>
      <c r="E17" s="4" t="s">
        <v>213</v>
      </c>
      <c r="F17" s="4">
        <v>0</v>
      </c>
      <c r="G17" s="4">
        <v>0</v>
      </c>
      <c r="H17" s="9">
        <v>6</v>
      </c>
      <c r="I17" s="9">
        <v>2</v>
      </c>
      <c r="J17" s="9">
        <v>2</v>
      </c>
      <c r="K17" s="9">
        <v>233</v>
      </c>
      <c r="L17" s="9">
        <v>72</v>
      </c>
      <c r="M17" s="238">
        <v>3.236111111111111</v>
      </c>
      <c r="N17" s="240">
        <v>5.357142857142857</v>
      </c>
      <c r="O17" s="247">
        <v>23</v>
      </c>
    </row>
    <row r="18" spans="3:15" ht="12.75">
      <c r="C18" s="147">
        <v>13</v>
      </c>
      <c r="D18" s="12" t="s">
        <v>220</v>
      </c>
      <c r="E18" s="4" t="s">
        <v>221</v>
      </c>
      <c r="F18" s="4">
        <v>0</v>
      </c>
      <c r="G18" s="4">
        <v>0</v>
      </c>
      <c r="H18" s="9">
        <v>6</v>
      </c>
      <c r="I18" s="9">
        <v>2</v>
      </c>
      <c r="J18" s="9">
        <v>2</v>
      </c>
      <c r="K18" s="9">
        <v>253</v>
      </c>
      <c r="L18" s="9">
        <v>90</v>
      </c>
      <c r="M18" s="238">
        <v>2.811111111111111</v>
      </c>
      <c r="N18" s="240">
        <v>3.9473684210526314</v>
      </c>
      <c r="O18" s="247">
        <v>25</v>
      </c>
    </row>
    <row r="19" spans="3:15" ht="12.75">
      <c r="C19" s="147">
        <v>17</v>
      </c>
      <c r="D19" s="12" t="s">
        <v>219</v>
      </c>
      <c r="E19" s="4" t="s">
        <v>182</v>
      </c>
      <c r="F19" s="4">
        <v>0</v>
      </c>
      <c r="G19" s="4">
        <v>0</v>
      </c>
      <c r="H19" s="9">
        <v>3</v>
      </c>
      <c r="I19" s="9">
        <v>1</v>
      </c>
      <c r="J19" s="9">
        <v>2</v>
      </c>
      <c r="K19" s="9">
        <v>124</v>
      </c>
      <c r="L19" s="9">
        <v>26</v>
      </c>
      <c r="M19" s="238">
        <v>4.769230769230769</v>
      </c>
      <c r="N19" s="240">
        <v>6.818181818181818</v>
      </c>
      <c r="O19" s="247">
        <v>24</v>
      </c>
    </row>
    <row r="20" spans="3:15" ht="12.75">
      <c r="C20" s="147">
        <v>17</v>
      </c>
      <c r="D20" s="12" t="s">
        <v>192</v>
      </c>
      <c r="E20" s="4" t="s">
        <v>190</v>
      </c>
      <c r="F20" s="4">
        <v>0</v>
      </c>
      <c r="G20" s="4">
        <v>0</v>
      </c>
      <c r="H20" s="9">
        <v>3</v>
      </c>
      <c r="I20" s="9">
        <v>1</v>
      </c>
      <c r="J20" s="9">
        <v>2</v>
      </c>
      <c r="K20" s="9">
        <v>148</v>
      </c>
      <c r="L20" s="9">
        <v>33</v>
      </c>
      <c r="M20" s="238">
        <v>4.484848484848484</v>
      </c>
      <c r="N20" s="240">
        <v>5.357142857142857</v>
      </c>
      <c r="O20" s="247">
        <v>32</v>
      </c>
    </row>
    <row r="21" spans="3:15" ht="12.75">
      <c r="C21" s="147">
        <v>17</v>
      </c>
      <c r="D21" s="12" t="s">
        <v>185</v>
      </c>
      <c r="E21" s="4" t="s">
        <v>186</v>
      </c>
      <c r="F21" s="4">
        <v>0</v>
      </c>
      <c r="G21" s="4">
        <v>0</v>
      </c>
      <c r="H21" s="9">
        <v>3</v>
      </c>
      <c r="I21" s="9">
        <v>1</v>
      </c>
      <c r="J21" s="9">
        <v>2</v>
      </c>
      <c r="K21" s="9">
        <v>170</v>
      </c>
      <c r="L21" s="9">
        <v>39</v>
      </c>
      <c r="M21" s="238">
        <v>4.358974358974359</v>
      </c>
      <c r="N21" s="240">
        <v>3.9473684210526314</v>
      </c>
      <c r="O21" s="247">
        <v>28</v>
      </c>
    </row>
    <row r="22" spans="3:15" ht="12.75">
      <c r="C22" s="147">
        <v>17</v>
      </c>
      <c r="D22" s="12" t="s">
        <v>226</v>
      </c>
      <c r="E22" s="4" t="s">
        <v>184</v>
      </c>
      <c r="F22" s="4">
        <v>0</v>
      </c>
      <c r="G22" s="4">
        <v>0</v>
      </c>
      <c r="H22" s="9">
        <v>3</v>
      </c>
      <c r="I22" s="9">
        <v>1</v>
      </c>
      <c r="J22" s="9">
        <v>2</v>
      </c>
      <c r="K22" s="9">
        <v>163</v>
      </c>
      <c r="L22" s="9">
        <v>39</v>
      </c>
      <c r="M22" s="238">
        <v>4.17948717948718</v>
      </c>
      <c r="N22" s="240">
        <v>5</v>
      </c>
      <c r="O22" s="247">
        <v>29</v>
      </c>
    </row>
    <row r="23" spans="3:15" ht="12.75">
      <c r="C23" s="147">
        <v>17</v>
      </c>
      <c r="D23" s="12" t="s">
        <v>218</v>
      </c>
      <c r="E23" s="4" t="s">
        <v>190</v>
      </c>
      <c r="F23" s="4">
        <v>0</v>
      </c>
      <c r="G23" s="4">
        <v>0</v>
      </c>
      <c r="H23" s="9">
        <v>3</v>
      </c>
      <c r="I23" s="9">
        <v>1</v>
      </c>
      <c r="J23" s="9">
        <v>2</v>
      </c>
      <c r="K23" s="9">
        <v>206</v>
      </c>
      <c r="L23" s="9">
        <v>54</v>
      </c>
      <c r="M23" s="238">
        <v>3.814814814814815</v>
      </c>
      <c r="N23" s="240">
        <v>2.6785714285714284</v>
      </c>
      <c r="O23" s="247">
        <v>27</v>
      </c>
    </row>
    <row r="24" spans="3:15" ht="12.75">
      <c r="C24" s="147">
        <v>17</v>
      </c>
      <c r="D24" s="12" t="s">
        <v>187</v>
      </c>
      <c r="E24" s="4" t="s">
        <v>188</v>
      </c>
      <c r="F24" s="4">
        <v>0</v>
      </c>
      <c r="G24" s="4">
        <v>0</v>
      </c>
      <c r="H24" s="9">
        <v>3</v>
      </c>
      <c r="I24" s="9">
        <v>1</v>
      </c>
      <c r="J24" s="9">
        <v>2</v>
      </c>
      <c r="K24" s="9">
        <v>176</v>
      </c>
      <c r="L24" s="9">
        <v>73</v>
      </c>
      <c r="M24" s="238">
        <v>2.410958904109589</v>
      </c>
      <c r="N24" s="240">
        <v>2.34375</v>
      </c>
      <c r="O24" s="247">
        <v>11</v>
      </c>
    </row>
    <row r="25" spans="3:15" ht="12.75">
      <c r="C25" s="147">
        <v>17</v>
      </c>
      <c r="D25" s="12" t="s">
        <v>196</v>
      </c>
      <c r="E25" s="4" t="s">
        <v>197</v>
      </c>
      <c r="F25" s="4">
        <v>0</v>
      </c>
      <c r="G25" s="4">
        <v>0</v>
      </c>
      <c r="H25" s="9">
        <v>3</v>
      </c>
      <c r="I25" s="9">
        <v>1</v>
      </c>
      <c r="J25" s="9">
        <v>2</v>
      </c>
      <c r="K25" s="9">
        <v>161</v>
      </c>
      <c r="L25" s="9">
        <v>70</v>
      </c>
      <c r="M25" s="238">
        <v>2.3</v>
      </c>
      <c r="N25" s="240">
        <v>2.6785714285714284</v>
      </c>
      <c r="O25" s="247">
        <v>19</v>
      </c>
    </row>
    <row r="26" spans="3:15" ht="12.75">
      <c r="C26" s="147">
        <v>17</v>
      </c>
      <c r="D26" s="12" t="s">
        <v>212</v>
      </c>
      <c r="E26" s="4" t="s">
        <v>213</v>
      </c>
      <c r="F26" s="4">
        <v>0</v>
      </c>
      <c r="G26" s="4">
        <v>0</v>
      </c>
      <c r="H26" s="9">
        <v>3</v>
      </c>
      <c r="I26" s="9">
        <v>1</v>
      </c>
      <c r="J26" s="9">
        <v>2</v>
      </c>
      <c r="K26" s="9">
        <v>172</v>
      </c>
      <c r="L26" s="9">
        <v>87</v>
      </c>
      <c r="M26" s="238">
        <v>1.9770114942528736</v>
      </c>
      <c r="N26" s="240">
        <v>2.027027027027027</v>
      </c>
      <c r="O26" s="247">
        <v>23</v>
      </c>
    </row>
    <row r="27" spans="3:15" ht="12.75">
      <c r="C27" s="147">
        <v>25</v>
      </c>
      <c r="D27" s="12" t="s">
        <v>211</v>
      </c>
      <c r="E27" s="4" t="s">
        <v>207</v>
      </c>
      <c r="F27" s="4">
        <v>0</v>
      </c>
      <c r="G27" s="4">
        <v>0</v>
      </c>
      <c r="H27" s="9">
        <v>0</v>
      </c>
      <c r="I27" s="9">
        <v>0</v>
      </c>
      <c r="J27" s="9">
        <v>2</v>
      </c>
      <c r="K27" s="9">
        <v>123</v>
      </c>
      <c r="L27" s="9">
        <v>31</v>
      </c>
      <c r="M27" s="238">
        <v>3.967741935483871</v>
      </c>
      <c r="N27" s="240">
        <v>0</v>
      </c>
      <c r="O27" s="247">
        <v>22</v>
      </c>
    </row>
    <row r="28" spans="3:15" ht="12.75">
      <c r="C28" s="147">
        <v>25</v>
      </c>
      <c r="D28" s="12" t="s">
        <v>200</v>
      </c>
      <c r="E28" s="4" t="s">
        <v>201</v>
      </c>
      <c r="F28" s="4">
        <v>0</v>
      </c>
      <c r="G28" s="4">
        <v>0</v>
      </c>
      <c r="H28" s="9">
        <v>0</v>
      </c>
      <c r="I28" s="9">
        <v>0</v>
      </c>
      <c r="J28" s="9">
        <v>2</v>
      </c>
      <c r="K28" s="9">
        <v>121</v>
      </c>
      <c r="L28" s="9">
        <v>37</v>
      </c>
      <c r="M28" s="238">
        <v>3.27027027027027</v>
      </c>
      <c r="N28" s="240">
        <v>0</v>
      </c>
      <c r="O28" s="247">
        <v>24</v>
      </c>
    </row>
    <row r="29" spans="3:15" ht="12.75">
      <c r="C29" s="147">
        <v>25</v>
      </c>
      <c r="D29" s="12" t="s">
        <v>227</v>
      </c>
      <c r="E29" s="4" t="s">
        <v>203</v>
      </c>
      <c r="F29" s="4">
        <v>0</v>
      </c>
      <c r="G29" s="4">
        <v>0</v>
      </c>
      <c r="H29" s="9">
        <v>0</v>
      </c>
      <c r="I29" s="9">
        <v>0</v>
      </c>
      <c r="J29" s="9">
        <v>2</v>
      </c>
      <c r="K29" s="9">
        <v>59</v>
      </c>
      <c r="L29" s="9">
        <v>19</v>
      </c>
      <c r="M29" s="238">
        <v>3.1052631578947367</v>
      </c>
      <c r="N29" s="240">
        <v>0</v>
      </c>
      <c r="O29" s="247">
        <v>10</v>
      </c>
    </row>
    <row r="30" spans="3:15" ht="12.75">
      <c r="C30" s="147">
        <v>25</v>
      </c>
      <c r="D30" s="12" t="s">
        <v>202</v>
      </c>
      <c r="E30" s="4" t="s">
        <v>203</v>
      </c>
      <c r="F30" s="4">
        <v>0</v>
      </c>
      <c r="G30" s="4">
        <v>0</v>
      </c>
      <c r="H30" s="9">
        <v>0</v>
      </c>
      <c r="I30" s="9">
        <v>0</v>
      </c>
      <c r="J30" s="9">
        <v>2</v>
      </c>
      <c r="K30" s="9">
        <v>93</v>
      </c>
      <c r="L30" s="9">
        <v>30</v>
      </c>
      <c r="M30" s="238">
        <v>3.1</v>
      </c>
      <c r="N30" s="240">
        <v>0</v>
      </c>
      <c r="O30" s="247">
        <v>11</v>
      </c>
    </row>
    <row r="31" spans="3:15" ht="12.75">
      <c r="C31" s="147">
        <v>25</v>
      </c>
      <c r="D31" s="12" t="s">
        <v>183</v>
      </c>
      <c r="E31" s="4" t="s">
        <v>184</v>
      </c>
      <c r="F31" s="4">
        <v>0</v>
      </c>
      <c r="G31" s="4">
        <v>0</v>
      </c>
      <c r="H31" s="9">
        <v>0</v>
      </c>
      <c r="I31" s="9">
        <v>0</v>
      </c>
      <c r="J31" s="9">
        <v>2</v>
      </c>
      <c r="K31" s="9">
        <v>125</v>
      </c>
      <c r="L31" s="9">
        <v>44</v>
      </c>
      <c r="M31" s="238">
        <v>2.840909090909091</v>
      </c>
      <c r="N31" s="240">
        <v>0</v>
      </c>
      <c r="O31" s="247">
        <v>18</v>
      </c>
    </row>
    <row r="32" spans="3:15" ht="12.75">
      <c r="C32" s="147">
        <v>25</v>
      </c>
      <c r="D32" s="12" t="s">
        <v>208</v>
      </c>
      <c r="E32" s="4" t="s">
        <v>209</v>
      </c>
      <c r="F32" s="4">
        <v>0</v>
      </c>
      <c r="G32" s="4">
        <v>0</v>
      </c>
      <c r="H32" s="9">
        <v>0</v>
      </c>
      <c r="I32" s="9">
        <v>0</v>
      </c>
      <c r="J32" s="9">
        <v>2</v>
      </c>
      <c r="K32" s="9">
        <v>52</v>
      </c>
      <c r="L32" s="9">
        <v>25</v>
      </c>
      <c r="M32" s="238">
        <v>2.08</v>
      </c>
      <c r="N32" s="240">
        <v>0</v>
      </c>
      <c r="O32" s="247">
        <v>9</v>
      </c>
    </row>
    <row r="33" spans="3:15" ht="12.75">
      <c r="C33" s="147">
        <v>25</v>
      </c>
      <c r="D33" s="12" t="s">
        <v>228</v>
      </c>
      <c r="E33" s="4" t="s">
        <v>217</v>
      </c>
      <c r="F33" s="4">
        <v>0</v>
      </c>
      <c r="G33" s="4">
        <v>0</v>
      </c>
      <c r="H33" s="9">
        <v>0</v>
      </c>
      <c r="I33" s="9">
        <v>0</v>
      </c>
      <c r="J33" s="9">
        <v>2</v>
      </c>
      <c r="K33" s="9">
        <v>96</v>
      </c>
      <c r="L33" s="9">
        <v>47</v>
      </c>
      <c r="M33" s="238">
        <v>2.0425531914893615</v>
      </c>
      <c r="N33" s="240">
        <v>0</v>
      </c>
      <c r="O33" s="247">
        <v>13</v>
      </c>
    </row>
    <row r="34" spans="3:15" ht="13.5" thickBot="1">
      <c r="C34" s="148">
        <v>25</v>
      </c>
      <c r="D34" s="13" t="s">
        <v>223</v>
      </c>
      <c r="E34" s="7" t="s">
        <v>224</v>
      </c>
      <c r="F34" s="7">
        <v>0</v>
      </c>
      <c r="G34" s="7">
        <v>0</v>
      </c>
      <c r="H34" s="14">
        <v>0</v>
      </c>
      <c r="I34" s="14">
        <v>0</v>
      </c>
      <c r="J34" s="14">
        <v>2</v>
      </c>
      <c r="K34" s="14">
        <v>111</v>
      </c>
      <c r="L34" s="14">
        <v>74</v>
      </c>
      <c r="M34" s="239">
        <v>1.5</v>
      </c>
      <c r="N34" s="248">
        <v>0</v>
      </c>
      <c r="O34" s="249">
        <v>11</v>
      </c>
    </row>
    <row r="35" spans="4:5" ht="15.75">
      <c r="D35" s="202" t="s">
        <v>89</v>
      </c>
      <c r="E35" s="202">
        <f>IF(Auslosung_Turnierdaten!G47="","",Auslosung_Turnierdaten!G47)</f>
      </c>
    </row>
    <row r="36" spans="4:5" ht="15.75">
      <c r="D36" s="202" t="s">
        <v>146</v>
      </c>
      <c r="E36" s="203">
        <f>IF(Auslosung_Turnierdaten!G45="","",Auslosung_Turnierdaten!G45)</f>
      </c>
    </row>
    <row r="46" ht="12.75">
      <c r="B46" s="2">
        <f>IF(Auslosung_Turnierdaten!F52="","",44)</f>
      </c>
    </row>
    <row r="47" ht="12.75">
      <c r="B47" s="2">
        <f>IF(Auslosung_Turnierdaten!F53="","",45)</f>
      </c>
    </row>
    <row r="48" ht="12.75">
      <c r="B48" s="2">
        <f>IF(Auslosung_Turnierdaten!F54="","",46)</f>
      </c>
    </row>
    <row r="49" ht="12.75">
      <c r="B49" s="2">
        <f>IF(Auslosung_Turnierdaten!F55="","",47)</f>
      </c>
    </row>
    <row r="50" ht="12.75">
      <c r="B50" s="2">
        <f>IF(Auslosung_Turnierdaten!F56="","",48)</f>
      </c>
    </row>
    <row r="51" ht="12.75">
      <c r="B51" s="2">
        <f>IF(Auslosung_Turnierdaten!F57="","",49)</f>
      </c>
    </row>
    <row r="52" ht="12.75">
      <c r="B52" s="2">
        <f>IF(Auslosung_Turnierdaten!F58="","",50)</f>
      </c>
    </row>
    <row r="53" ht="12.75">
      <c r="B53" s="2">
        <f>IF(Auslosung_Turnierdaten!F59="","",51)</f>
      </c>
    </row>
    <row r="54" ht="12.75">
      <c r="B54" s="2">
        <f>IF(Auslosung_Turnierdaten!F60="","",52)</f>
      </c>
    </row>
    <row r="55" ht="12.75">
      <c r="B55" s="2">
        <f>IF(Auslosung_Turnierdaten!F61="","",53)</f>
      </c>
    </row>
    <row r="56" ht="12.75">
      <c r="B56" s="2">
        <f>IF(Auslosung_Turnierdaten!F62="","",54)</f>
      </c>
    </row>
    <row r="57" ht="12.75">
      <c r="B57" s="2">
        <f>IF(Auslosung_Turnierdaten!F63="","",55)</f>
      </c>
    </row>
    <row r="58" ht="12.75">
      <c r="B58" s="2">
        <f>IF(Auslosung_Turnierdaten!F64="","",56)</f>
      </c>
    </row>
    <row r="59" ht="12.75">
      <c r="B59" s="2">
        <f>IF(Auslosung_Turnierdaten!F65="","",57)</f>
      </c>
    </row>
    <row r="60" ht="12.75">
      <c r="B60" s="2">
        <f>IF(Auslosung_Turnierdaten!F66="","",58)</f>
      </c>
    </row>
    <row r="61" ht="12.75">
      <c r="B61" s="2">
        <f>IF(Auslosung_Turnierdaten!F67="","",59)</f>
      </c>
    </row>
    <row r="62" ht="12.75">
      <c r="B62" s="2">
        <f>IF(Auslosung_Turnierdaten!F68="","",60)</f>
      </c>
    </row>
    <row r="63" ht="12.75">
      <c r="B63" s="2">
        <f>IF(Auslosung_Turnierdaten!F69="","",61)</f>
      </c>
    </row>
    <row r="64" ht="12.75">
      <c r="B64" s="2">
        <f>IF(Auslosung_Turnierdaten!F70="","",62)</f>
      </c>
    </row>
    <row r="65" ht="12.75">
      <c r="B65" s="2">
        <f>IF(Auslosung_Turnierdaten!F71="","",63)</f>
      </c>
    </row>
    <row r="66" ht="12.75">
      <c r="B66" s="2">
        <f>IF(Auslosung_Turnierdaten!F72="","",64)</f>
      </c>
    </row>
  </sheetData>
  <sheetProtection selectLockedCells="1"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M59"/>
  <sheetViews>
    <sheetView zoomScalePageLayoutView="0" workbookViewId="0" topLeftCell="A17">
      <selection activeCell="D63" sqref="D63"/>
    </sheetView>
  </sheetViews>
  <sheetFormatPr defaultColWidth="11.421875" defaultRowHeight="12.75"/>
  <cols>
    <col min="1" max="11" width="7.7109375" style="0" customWidth="1"/>
    <col min="12" max="12" width="8.140625" style="0" bestFit="1" customWidth="1"/>
    <col min="13" max="13" width="9.57421875" style="0" customWidth="1"/>
  </cols>
  <sheetData>
    <row r="1" spans="1:13" ht="12.75">
      <c r="A1" t="str">
        <f>SP32!B3</f>
        <v>HR</v>
      </c>
      <c r="B1">
        <f>SP32!C3</f>
        <v>1</v>
      </c>
      <c r="C1" t="e">
        <f>IF((SP32!D3)="Freilos",0,VLOOKUP(SP32!D3,'BA-Teilnehmer'!$G$6:$J$37,4,FALSE))</f>
        <v>#N/A</v>
      </c>
      <c r="D1" t="e">
        <f>IF((SP32!E3)="Freilos",0,VLOOKUP(SP32!E3,'BA-Teilnehmer'!$G$6:$J$37,4,FALSE))</f>
        <v>#N/A</v>
      </c>
      <c r="E1">
        <f>SP32!F3</f>
        <v>75</v>
      </c>
      <c r="F1">
        <f>SP32!G3</f>
        <v>35</v>
      </c>
      <c r="G1">
        <f>SP32!H3</f>
        <v>14</v>
      </c>
      <c r="H1">
        <f>SP32!I3</f>
        <v>14</v>
      </c>
      <c r="I1">
        <f>SP32!J3</f>
        <v>21</v>
      </c>
      <c r="J1">
        <f>SP32!K3</f>
        <v>8</v>
      </c>
      <c r="K1">
        <f>SP32!L3</f>
        <v>1</v>
      </c>
      <c r="L1" s="258">
        <f>SP32!AR3</f>
        <v>0</v>
      </c>
      <c r="M1" s="258">
        <f>SP32!AS3</f>
        <v>0</v>
      </c>
    </row>
    <row r="2" spans="1:13" ht="12.75">
      <c r="A2" t="s">
        <v>38</v>
      </c>
      <c r="B2">
        <f>SP32!C4</f>
        <v>2</v>
      </c>
      <c r="C2" t="e">
        <f>IF((SP32!D4)="Freilos",0,VLOOKUP(SP32!D4,'BA-Teilnehmer'!$G$6:$J$37,4,FALSE))</f>
        <v>#N/A</v>
      </c>
      <c r="D2" t="e">
        <f>IF((SP32!E4)="Freilos",0,VLOOKUP(SP32!E4,'BA-Teilnehmer'!$G$6:$J$37,4,FALSE))</f>
        <v>#N/A</v>
      </c>
      <c r="E2">
        <f>SP32!F4</f>
        <v>75</v>
      </c>
      <c r="F2">
        <f>SP32!G4</f>
        <v>49</v>
      </c>
      <c r="G2">
        <f>SP32!H4</f>
        <v>13</v>
      </c>
      <c r="H2">
        <f>SP32!I4</f>
        <v>12</v>
      </c>
      <c r="I2">
        <f>SP32!J4</f>
        <v>21</v>
      </c>
      <c r="J2">
        <f>SP32!K4</f>
        <v>19</v>
      </c>
      <c r="K2">
        <f>SP32!L4</f>
        <v>2</v>
      </c>
      <c r="L2" s="258">
        <f>SP32!AR4</f>
        <v>0</v>
      </c>
      <c r="M2" s="258">
        <f>SP32!AS4</f>
        <v>0</v>
      </c>
    </row>
    <row r="3" spans="1:13" ht="12.75">
      <c r="A3" t="s">
        <v>38</v>
      </c>
      <c r="B3">
        <f>SP32!C5</f>
        <v>3</v>
      </c>
      <c r="C3" t="e">
        <f>IF((SP32!D5)="Freilos",0,VLOOKUP(SP32!D5,'BA-Teilnehmer'!$G$6:$J$37,4,FALSE))</f>
        <v>#N/A</v>
      </c>
      <c r="D3" t="e">
        <f>IF((SP32!E5)="Freilos",0,VLOOKUP(SP32!E5,'BA-Teilnehmer'!$G$6:$J$37,4,FALSE))</f>
        <v>#N/A</v>
      </c>
      <c r="E3">
        <f>SP32!F5</f>
        <v>0</v>
      </c>
      <c r="F3">
        <f>SP32!G5</f>
        <v>75</v>
      </c>
      <c r="G3">
        <f>SP32!H5</f>
        <v>0</v>
      </c>
      <c r="H3">
        <f>SP32!I5</f>
        <v>0</v>
      </c>
      <c r="I3">
        <f>SP32!J5</f>
        <v>0</v>
      </c>
      <c r="J3">
        <f>SP32!K5</f>
        <v>0</v>
      </c>
      <c r="K3">
        <f>SP32!L5</f>
        <v>3</v>
      </c>
      <c r="L3" s="258">
        <f>SP32!AR5</f>
        <v>0</v>
      </c>
      <c r="M3" s="258">
        <f>SP32!AS5</f>
        <v>0</v>
      </c>
    </row>
    <row r="4" spans="1:13" ht="12.75">
      <c r="A4" t="s">
        <v>38</v>
      </c>
      <c r="B4">
        <f>SP32!C6</f>
        <v>4</v>
      </c>
      <c r="C4" t="e">
        <f>IF((SP32!D6)="Freilos",0,VLOOKUP(SP32!D6,'BA-Teilnehmer'!$G$6:$J$37,4,FALSE))</f>
        <v>#N/A</v>
      </c>
      <c r="D4" t="e">
        <f>IF((SP32!E6)="Freilos",0,VLOOKUP(SP32!E6,'BA-Teilnehmer'!$G$6:$J$37,4,FALSE))</f>
        <v>#N/A</v>
      </c>
      <c r="E4">
        <f>SP32!F6</f>
        <v>72</v>
      </c>
      <c r="F4">
        <f>SP32!G6</f>
        <v>75</v>
      </c>
      <c r="G4">
        <f>SP32!H6</f>
        <v>16</v>
      </c>
      <c r="H4">
        <f>SP32!I6</f>
        <v>16</v>
      </c>
      <c r="I4">
        <f>SP32!J6</f>
        <v>24</v>
      </c>
      <c r="J4">
        <f>SP32!K6</f>
        <v>29</v>
      </c>
      <c r="K4">
        <f>SP32!L6</f>
        <v>4</v>
      </c>
      <c r="L4" s="258">
        <f>SP32!AR6</f>
        <v>0</v>
      </c>
      <c r="M4" s="258">
        <f>SP32!AS6</f>
        <v>0</v>
      </c>
    </row>
    <row r="5" spans="1:13" ht="12.75">
      <c r="A5" t="s">
        <v>38</v>
      </c>
      <c r="B5">
        <f>SP32!C7</f>
        <v>5</v>
      </c>
      <c r="C5" t="e">
        <f>IF((SP32!D7)="Freilos",0,VLOOKUP(SP32!D7,'BA-Teilnehmer'!$G$6:$J$37,4,FALSE))</f>
        <v>#N/A</v>
      </c>
      <c r="D5" t="e">
        <f>IF((SP32!E7)="Freilos",0,VLOOKUP(SP32!E7,'BA-Teilnehmer'!$G$6:$J$37,4,FALSE))</f>
        <v>#N/A</v>
      </c>
      <c r="E5">
        <f>SP32!F7</f>
        <v>75</v>
      </c>
      <c r="F5">
        <f>SP32!G7</f>
        <v>51</v>
      </c>
      <c r="G5">
        <f>SP32!H7</f>
        <v>19</v>
      </c>
      <c r="H5">
        <f>SP32!I7</f>
        <v>18</v>
      </c>
      <c r="I5">
        <f>SP32!J7</f>
        <v>14</v>
      </c>
      <c r="J5">
        <f>SP32!K7</f>
        <v>22</v>
      </c>
      <c r="K5">
        <f>SP32!L7</f>
        <v>5</v>
      </c>
      <c r="L5" s="258">
        <f>SP32!AR7</f>
        <v>0</v>
      </c>
      <c r="M5" s="258">
        <f>SP32!AS7</f>
        <v>0</v>
      </c>
    </row>
    <row r="6" spans="1:13" ht="12.75">
      <c r="A6" t="s">
        <v>38</v>
      </c>
      <c r="B6">
        <f>SP32!C8</f>
        <v>6</v>
      </c>
      <c r="C6" t="e">
        <f>IF((SP32!D8)="Freilos",0,VLOOKUP(SP32!D8,'BA-Teilnehmer'!$G$6:$J$37,4,FALSE))</f>
        <v>#N/A</v>
      </c>
      <c r="D6" t="e">
        <f>IF((SP32!E8)="Freilos",0,VLOOKUP(SP32!E8,'BA-Teilnehmer'!$G$6:$J$37,4,FALSE))</f>
        <v>#N/A</v>
      </c>
      <c r="E6">
        <f>SP32!F8</f>
        <v>20</v>
      </c>
      <c r="F6">
        <f>SP32!G8</f>
        <v>75</v>
      </c>
      <c r="G6">
        <f>SP32!H8</f>
        <v>9</v>
      </c>
      <c r="H6">
        <f>SP32!I8</f>
        <v>9</v>
      </c>
      <c r="I6">
        <f>SP32!J8</f>
        <v>12</v>
      </c>
      <c r="J6">
        <f>SP32!K8</f>
        <v>24</v>
      </c>
      <c r="K6">
        <f>SP32!L8</f>
        <v>7</v>
      </c>
      <c r="L6" s="258">
        <f>SP32!AR8</f>
        <v>0</v>
      </c>
      <c r="M6" s="258">
        <f>SP32!AS8</f>
        <v>0</v>
      </c>
    </row>
    <row r="7" spans="1:13" ht="12.75">
      <c r="A7" t="s">
        <v>38</v>
      </c>
      <c r="B7">
        <f>SP32!C9</f>
        <v>7</v>
      </c>
      <c r="C7" t="e">
        <f>IF((SP32!D9)="Freilos",0,VLOOKUP(SP32!D9,'BA-Teilnehmer'!$G$6:$J$37,4,FALSE))</f>
        <v>#N/A</v>
      </c>
      <c r="D7" t="e">
        <f>IF((SP32!E9)="Freilos",0,VLOOKUP(SP32!E9,'BA-Teilnehmer'!$G$6:$J$37,4,FALSE))</f>
        <v>#N/A</v>
      </c>
      <c r="E7">
        <f>SP32!F9</f>
        <v>0</v>
      </c>
      <c r="F7">
        <f>SP32!G9</f>
        <v>75</v>
      </c>
      <c r="G7">
        <f>SP32!H9</f>
        <v>0</v>
      </c>
      <c r="H7">
        <f>SP32!I9</f>
        <v>0</v>
      </c>
      <c r="I7">
        <f>SP32!J9</f>
        <v>0</v>
      </c>
      <c r="J7">
        <f>SP32!K9</f>
        <v>0</v>
      </c>
      <c r="K7">
        <f>SP32!L9</f>
        <v>9</v>
      </c>
      <c r="L7" s="258">
        <f>SP32!AR9</f>
        <v>0</v>
      </c>
      <c r="M7" s="258">
        <f>SP32!AS9</f>
        <v>0</v>
      </c>
    </row>
    <row r="8" spans="1:13" ht="12.75">
      <c r="A8" t="s">
        <v>38</v>
      </c>
      <c r="B8">
        <f>SP32!C10</f>
        <v>8</v>
      </c>
      <c r="C8" t="e">
        <f>IF((SP32!D10)="Freilos",0,VLOOKUP(SP32!D10,'BA-Teilnehmer'!$G$6:$J$37,4,FALSE))</f>
        <v>#N/A</v>
      </c>
      <c r="D8" t="e">
        <f>IF((SP32!E10)="Freilos",0,VLOOKUP(SP32!E10,'BA-Teilnehmer'!$G$6:$J$37,4,FALSE))</f>
        <v>#N/A</v>
      </c>
      <c r="E8">
        <f>SP32!F10</f>
        <v>75</v>
      </c>
      <c r="F8">
        <f>SP32!G10</f>
        <v>28</v>
      </c>
      <c r="G8">
        <f>SP32!H10</f>
        <v>7</v>
      </c>
      <c r="H8">
        <f>SP32!I10</f>
        <v>6</v>
      </c>
      <c r="I8">
        <f>SP32!J10</f>
        <v>22</v>
      </c>
      <c r="J8">
        <f>SP32!K10</f>
        <v>10</v>
      </c>
      <c r="K8">
        <f>SP32!L10</f>
        <v>11</v>
      </c>
      <c r="L8" s="258">
        <f>SP32!AR10</f>
        <v>0</v>
      </c>
      <c r="M8" s="258">
        <f>SP32!AS10</f>
        <v>0</v>
      </c>
    </row>
    <row r="9" spans="1:13" ht="12.75">
      <c r="A9" t="s">
        <v>38</v>
      </c>
      <c r="B9">
        <f>SP32!C11</f>
        <v>9</v>
      </c>
      <c r="C9" t="e">
        <f>IF((SP32!D11)="Freilos",0,VLOOKUP(SP32!D11,'BA-Teilnehmer'!$G$6:$J$37,4,FALSE))</f>
        <v>#N/A</v>
      </c>
      <c r="D9" t="e">
        <f>IF((SP32!E11)="Freilos",0,VLOOKUP(SP32!E11,'BA-Teilnehmer'!$G$6:$J$37,4,FALSE))</f>
        <v>#N/A</v>
      </c>
      <c r="E9">
        <f>SP32!F11</f>
        <v>53</v>
      </c>
      <c r="F9">
        <f>SP32!G11</f>
        <v>75</v>
      </c>
      <c r="G9">
        <f>SP32!H11</f>
        <v>16</v>
      </c>
      <c r="H9">
        <f>SP32!I11</f>
        <v>16</v>
      </c>
      <c r="I9">
        <f>SP32!J11</f>
        <v>12</v>
      </c>
      <c r="J9">
        <f>SP32!K11</f>
        <v>38</v>
      </c>
      <c r="K9">
        <f>SP32!L11</f>
        <v>13</v>
      </c>
      <c r="L9" s="258">
        <f>SP32!AR11</f>
        <v>0</v>
      </c>
      <c r="M9" s="258">
        <f>SP32!AS11</f>
        <v>0</v>
      </c>
    </row>
    <row r="10" spans="1:13" ht="12.75">
      <c r="A10" t="s">
        <v>38</v>
      </c>
      <c r="B10">
        <f>SP32!C12</f>
        <v>10</v>
      </c>
      <c r="C10" t="e">
        <f>IF((SP32!D12)="Freilos",0,VLOOKUP(SP32!D12,'BA-Teilnehmer'!$G$6:$J$37,4,FALSE))</f>
        <v>#N/A</v>
      </c>
      <c r="D10" t="e">
        <f>IF((SP32!E12)="Freilos",0,VLOOKUP(SP32!E12,'BA-Teilnehmer'!$G$6:$J$37,4,FALSE))</f>
        <v>#N/A</v>
      </c>
      <c r="E10">
        <f>SP32!F12</f>
        <v>69</v>
      </c>
      <c r="F10">
        <f>SP32!G12</f>
        <v>75</v>
      </c>
      <c r="G10">
        <f>SP32!H12</f>
        <v>33</v>
      </c>
      <c r="H10">
        <f>SP32!I12</f>
        <v>34</v>
      </c>
      <c r="I10">
        <f>SP32!J12</f>
        <v>19</v>
      </c>
      <c r="J10">
        <f>SP32!K12</f>
        <v>12</v>
      </c>
      <c r="K10">
        <f>SP32!L12</f>
        <v>14</v>
      </c>
      <c r="L10" s="258">
        <f>SP32!AR12</f>
        <v>0</v>
      </c>
      <c r="M10" s="258">
        <f>SP32!AS12</f>
        <v>0</v>
      </c>
    </row>
    <row r="11" spans="1:13" ht="12.75">
      <c r="A11" t="s">
        <v>38</v>
      </c>
      <c r="B11">
        <f>SP32!C13</f>
        <v>11</v>
      </c>
      <c r="C11" t="e">
        <f>IF((SP32!D13)="Freilos",0,VLOOKUP(SP32!D13,'BA-Teilnehmer'!$G$6:$J$37,4,FALSE))</f>
        <v>#N/A</v>
      </c>
      <c r="D11" t="e">
        <f>IF((SP32!E13)="Freilos",0,VLOOKUP(SP32!E13,'BA-Teilnehmer'!$G$6:$J$37,4,FALSE))</f>
        <v>#N/A</v>
      </c>
      <c r="E11">
        <f>SP32!F13</f>
        <v>75</v>
      </c>
      <c r="F11">
        <f>SP32!G13</f>
        <v>63</v>
      </c>
      <c r="G11">
        <f>SP32!H13</f>
        <v>30</v>
      </c>
      <c r="H11">
        <f>SP32!I13</f>
        <v>30</v>
      </c>
      <c r="I11">
        <f>SP32!J13</f>
        <v>15</v>
      </c>
      <c r="J11">
        <f>SP32!K13</f>
        <v>20</v>
      </c>
      <c r="K11">
        <f>SP32!L13</f>
        <v>15</v>
      </c>
      <c r="L11" s="258">
        <f>SP32!AR13</f>
        <v>0</v>
      </c>
      <c r="M11" s="258">
        <f>SP32!AS13</f>
        <v>0</v>
      </c>
    </row>
    <row r="12" spans="1:13" ht="12.75">
      <c r="A12" t="s">
        <v>38</v>
      </c>
      <c r="B12">
        <f>SP32!C14</f>
        <v>12</v>
      </c>
      <c r="C12" t="e">
        <f>IF((SP32!D14)="Freilos",0,VLOOKUP(SP32!D14,'BA-Teilnehmer'!$G$6:$J$37,4,FALSE))</f>
        <v>#N/A</v>
      </c>
      <c r="D12" t="e">
        <f>IF((SP32!E14)="Freilos",0,VLOOKUP(SP32!E14,'BA-Teilnehmer'!$G$6:$J$37,4,FALSE))</f>
        <v>#N/A</v>
      </c>
      <c r="E12">
        <f>SP32!F14</f>
        <v>36</v>
      </c>
      <c r="F12">
        <f>SP32!G14</f>
        <v>75</v>
      </c>
      <c r="G12">
        <f>SP32!H14</f>
        <v>14</v>
      </c>
      <c r="H12">
        <f>SP32!I14</f>
        <v>15</v>
      </c>
      <c r="I12">
        <f>SP32!J14</f>
        <v>9</v>
      </c>
      <c r="J12">
        <f>SP32!K14</f>
        <v>29</v>
      </c>
      <c r="K12">
        <f>SP32!L14</f>
        <v>16</v>
      </c>
      <c r="L12" s="258">
        <f>SP32!AR14</f>
        <v>0</v>
      </c>
      <c r="M12" s="258">
        <f>SP32!AS14</f>
        <v>0</v>
      </c>
    </row>
    <row r="13" spans="1:13" ht="12.75">
      <c r="A13" t="s">
        <v>38</v>
      </c>
      <c r="B13">
        <f>SP32!C15</f>
        <v>13</v>
      </c>
      <c r="C13" t="e">
        <f>IF((SP32!D15)="Freilos",0,VLOOKUP(SP32!D15,'BA-Teilnehmer'!$G$6:$J$37,4,FALSE))</f>
        <v>#N/A</v>
      </c>
      <c r="D13" t="e">
        <f>IF((SP32!E15)="Freilos",0,VLOOKUP(SP32!E15,'BA-Teilnehmer'!$G$6:$J$37,4,FALSE))</f>
        <v>#N/A</v>
      </c>
      <c r="E13">
        <f>SP32!F15</f>
        <v>75</v>
      </c>
      <c r="F13">
        <f>SP32!G15</f>
        <v>69</v>
      </c>
      <c r="G13">
        <f>SP32!H15</f>
        <v>32</v>
      </c>
      <c r="H13">
        <f>SP32!I15</f>
        <v>31</v>
      </c>
      <c r="I13">
        <f>SP32!J15</f>
        <v>11</v>
      </c>
      <c r="J13">
        <f>SP32!K15</f>
        <v>23</v>
      </c>
      <c r="K13">
        <f>SP32!L15</f>
        <v>17</v>
      </c>
      <c r="L13" s="258">
        <f>SP32!AR15</f>
        <v>0</v>
      </c>
      <c r="M13" s="258">
        <f>SP32!AS15</f>
        <v>0</v>
      </c>
    </row>
    <row r="14" spans="1:13" ht="12.75">
      <c r="A14" t="s">
        <v>38</v>
      </c>
      <c r="B14">
        <f>SP32!C16</f>
        <v>14</v>
      </c>
      <c r="C14" t="e">
        <f>IF((SP32!D16)="Freilos",0,VLOOKUP(SP32!D16,'BA-Teilnehmer'!$G$6:$J$37,4,FALSE))</f>
        <v>#N/A</v>
      </c>
      <c r="D14" t="e">
        <f>IF((SP32!E16)="Freilos",0,VLOOKUP(SP32!E16,'BA-Teilnehmer'!$G$6:$J$37,4,FALSE))</f>
        <v>#N/A</v>
      </c>
      <c r="E14">
        <f>SP32!F16</f>
        <v>75</v>
      </c>
      <c r="F14">
        <f>SP32!G16</f>
        <v>61</v>
      </c>
      <c r="G14">
        <f>SP32!H16</f>
        <v>38</v>
      </c>
      <c r="H14">
        <f>SP32!I16</f>
        <v>38</v>
      </c>
      <c r="I14">
        <f>SP32!J16</f>
        <v>10</v>
      </c>
      <c r="J14">
        <f>SP32!K16</f>
        <v>10</v>
      </c>
      <c r="K14">
        <f>SP32!L16</f>
        <v>18</v>
      </c>
      <c r="L14" s="258">
        <f>SP32!AR16</f>
        <v>0</v>
      </c>
      <c r="M14" s="258">
        <f>SP32!AS16</f>
        <v>0</v>
      </c>
    </row>
    <row r="15" spans="1:13" ht="12.75">
      <c r="A15" t="s">
        <v>38</v>
      </c>
      <c r="B15">
        <f>SP32!C17</f>
        <v>15</v>
      </c>
      <c r="C15" t="e">
        <f>IF((SP32!D17)="Freilos",0,VLOOKUP(SP32!D17,'BA-Teilnehmer'!$G$6:$J$37,4,FALSE))</f>
        <v>#N/A</v>
      </c>
      <c r="D15" t="e">
        <f>IF((SP32!E17)="Freilos",0,VLOOKUP(SP32!E17,'BA-Teilnehmer'!$G$6:$J$37,4,FALSE))</f>
        <v>#N/A</v>
      </c>
      <c r="E15">
        <f>SP32!F17</f>
        <v>75</v>
      </c>
      <c r="F15">
        <f>SP32!G17</f>
        <v>61</v>
      </c>
      <c r="G15">
        <f>SP32!H17</f>
        <v>10</v>
      </c>
      <c r="H15">
        <f>SP32!I17</f>
        <v>9</v>
      </c>
      <c r="I15">
        <f>SP32!J17</f>
        <v>31</v>
      </c>
      <c r="J15">
        <f>SP32!K17</f>
        <v>27</v>
      </c>
      <c r="K15">
        <f>SP32!L17</f>
        <v>19</v>
      </c>
      <c r="L15" s="258">
        <f>SP32!AR17</f>
        <v>0</v>
      </c>
      <c r="M15" s="258">
        <f>SP32!AS17</f>
        <v>0</v>
      </c>
    </row>
    <row r="16" spans="1:13" ht="12.75">
      <c r="A16" t="s">
        <v>38</v>
      </c>
      <c r="B16">
        <f>SP32!C18</f>
        <v>16</v>
      </c>
      <c r="C16" t="e">
        <f>IF((SP32!D18)="Freilos",0,VLOOKUP(SP32!D18,'BA-Teilnehmer'!$G$6:$J$37,4,FALSE))</f>
        <v>#N/A</v>
      </c>
      <c r="D16" t="e">
        <f>IF((SP32!E18)="Freilos",0,VLOOKUP(SP32!E18,'BA-Teilnehmer'!$G$6:$J$37,4,FALSE))</f>
        <v>#N/A</v>
      </c>
      <c r="E16">
        <f>SP32!F18</f>
        <v>75</v>
      </c>
      <c r="F16">
        <f>SP32!G18</f>
        <v>27</v>
      </c>
      <c r="G16">
        <f>SP32!H18</f>
        <v>20</v>
      </c>
      <c r="H16">
        <f>SP32!I18</f>
        <v>20</v>
      </c>
      <c r="I16">
        <f>SP32!J18</f>
        <v>20</v>
      </c>
      <c r="J16">
        <f>SP32!K18</f>
        <v>11</v>
      </c>
      <c r="K16">
        <f>SP32!L18</f>
        <v>20</v>
      </c>
      <c r="L16" s="258">
        <f>SP32!AR18</f>
        <v>0</v>
      </c>
      <c r="M16" s="258">
        <f>SP32!AS18</f>
        <v>0</v>
      </c>
    </row>
    <row r="17" spans="1:13" ht="12.75">
      <c r="A17" t="str">
        <f>SP32!B19</f>
        <v>VR1</v>
      </c>
      <c r="B17">
        <f>SP32!C19</f>
        <v>17</v>
      </c>
      <c r="C17" t="e">
        <f>IF((SP32!D19)="Freilos",0,VLOOKUP(SP32!D19,'BA-Teilnehmer'!$G$6:$J$37,4,FALSE))</f>
        <v>#N/A</v>
      </c>
      <c r="D17" t="e">
        <f>IF((SP32!E19)="Freilos",0,VLOOKUP(SP32!E19,'BA-Teilnehmer'!$G$6:$J$37,4,FALSE))</f>
        <v>#N/A</v>
      </c>
      <c r="E17">
        <f>SP32!F19</f>
        <v>17</v>
      </c>
      <c r="F17">
        <f>SP32!G19</f>
        <v>75</v>
      </c>
      <c r="G17">
        <f>SP32!H19</f>
        <v>11</v>
      </c>
      <c r="H17">
        <f>SP32!I19</f>
        <v>11</v>
      </c>
      <c r="I17">
        <f>SP32!J19</f>
        <v>9</v>
      </c>
      <c r="J17">
        <f>SP32!K19</f>
        <v>24</v>
      </c>
      <c r="K17">
        <f>SP32!L19</f>
        <v>1</v>
      </c>
      <c r="L17" s="258">
        <f>SP32!AR19</f>
        <v>0</v>
      </c>
      <c r="M17" s="258">
        <f>SP32!AS19</f>
        <v>0</v>
      </c>
    </row>
    <row r="18" spans="1:13" ht="12.75">
      <c r="A18" t="s">
        <v>39</v>
      </c>
      <c r="B18">
        <f>SP32!C20</f>
        <v>18</v>
      </c>
      <c r="C18" t="e">
        <f>IF((SP32!D20)="Freilos",0,VLOOKUP(SP32!D20,'BA-Teilnehmer'!$G$6:$J$37,4,FALSE))</f>
        <v>#N/A</v>
      </c>
      <c r="D18" t="e">
        <f>IF((SP32!E20)="Freilos",0,VLOOKUP(SP32!E20,'BA-Teilnehmer'!$G$6:$J$37,4,FALSE))</f>
        <v>#N/A</v>
      </c>
      <c r="E18">
        <f>SP32!F20</f>
        <v>75</v>
      </c>
      <c r="F18">
        <f>SP32!G20</f>
        <v>49</v>
      </c>
      <c r="G18">
        <f>SP32!H20</f>
        <v>22</v>
      </c>
      <c r="H18">
        <f>SP32!I20</f>
        <v>21</v>
      </c>
      <c r="I18">
        <f>SP32!J20</f>
        <v>19</v>
      </c>
      <c r="J18">
        <f>SP32!K20</f>
        <v>15</v>
      </c>
      <c r="K18">
        <f>SP32!L20</f>
        <v>14</v>
      </c>
      <c r="L18" s="258">
        <f>SP32!AR20</f>
        <v>0</v>
      </c>
      <c r="M18" s="258">
        <f>SP32!AS20</f>
        <v>0</v>
      </c>
    </row>
    <row r="19" spans="1:13" ht="12.75">
      <c r="A19" t="s">
        <v>39</v>
      </c>
      <c r="B19">
        <f>SP32!C21</f>
        <v>19</v>
      </c>
      <c r="C19" t="e">
        <f>IF((SP32!D21)="Freilos",0,VLOOKUP(SP32!D21,'BA-Teilnehmer'!$G$6:$J$37,4,FALSE))</f>
        <v>#N/A</v>
      </c>
      <c r="D19" t="e">
        <f>IF((SP32!E21)="Freilos",0,VLOOKUP(SP32!E21,'BA-Teilnehmer'!$G$6:$J$37,4,FALSE))</f>
        <v>#N/A</v>
      </c>
      <c r="E19">
        <f>SP32!F21</f>
        <v>72</v>
      </c>
      <c r="F19">
        <f>SP32!G21</f>
        <v>75</v>
      </c>
      <c r="G19">
        <f>SP32!H21</f>
        <v>13</v>
      </c>
      <c r="H19">
        <f>SP32!I21</f>
        <v>14</v>
      </c>
      <c r="I19">
        <f>SP32!J21</f>
        <v>14</v>
      </c>
      <c r="J19">
        <f>SP32!K21</f>
        <v>25</v>
      </c>
      <c r="K19">
        <f>SP32!L21</f>
        <v>2</v>
      </c>
      <c r="L19" s="258">
        <f>SP32!AR21</f>
        <v>0</v>
      </c>
      <c r="M19" s="258">
        <f>SP32!AS21</f>
        <v>0</v>
      </c>
    </row>
    <row r="20" spans="1:13" ht="12.75">
      <c r="A20" t="s">
        <v>39</v>
      </c>
      <c r="B20">
        <f>SP32!C22</f>
        <v>20</v>
      </c>
      <c r="C20" t="e">
        <f>IF((SP32!D22)="Freilos",0,VLOOKUP(SP32!D22,'BA-Teilnehmer'!$G$6:$J$37,4,FALSE))</f>
        <v>#N/A</v>
      </c>
      <c r="D20" t="e">
        <f>IF((SP32!E22)="Freilos",0,VLOOKUP(SP32!E22,'BA-Teilnehmer'!$G$6:$J$37,4,FALSE))</f>
        <v>#N/A</v>
      </c>
      <c r="E20">
        <f>SP32!F22</f>
        <v>75</v>
      </c>
      <c r="F20">
        <f>SP32!G22</f>
        <v>31</v>
      </c>
      <c r="G20">
        <f>SP32!H22</f>
        <v>14</v>
      </c>
      <c r="H20">
        <f>SP32!I22</f>
        <v>13</v>
      </c>
      <c r="I20">
        <f>SP32!J22</f>
        <v>24</v>
      </c>
      <c r="J20">
        <f>SP32!K22</f>
        <v>7</v>
      </c>
      <c r="K20">
        <f>SP32!L22</f>
        <v>3</v>
      </c>
      <c r="L20" s="258">
        <f>SP32!AR22</f>
        <v>0</v>
      </c>
      <c r="M20" s="258">
        <f>SP32!AS22</f>
        <v>0</v>
      </c>
    </row>
    <row r="21" spans="1:13" ht="12.75">
      <c r="A21" t="s">
        <v>39</v>
      </c>
      <c r="B21">
        <f>SP32!C23</f>
        <v>21</v>
      </c>
      <c r="C21" t="e">
        <f>IF((SP32!D23)="Freilos",0,VLOOKUP(SP32!D23,'BA-Teilnehmer'!$G$6:$J$37,4,FALSE))</f>
        <v>#N/A</v>
      </c>
      <c r="D21" t="e">
        <f>IF((SP32!E23)="Freilos",0,VLOOKUP(SP32!E23,'BA-Teilnehmer'!$G$6:$J$37,4,FALSE))</f>
        <v>#N/A</v>
      </c>
      <c r="E21">
        <f>SP32!F23</f>
        <v>72</v>
      </c>
      <c r="F21">
        <f>SP32!G23</f>
        <v>75</v>
      </c>
      <c r="G21">
        <f>SP32!H23</f>
        <v>28</v>
      </c>
      <c r="H21">
        <f>SP32!I23</f>
        <v>28</v>
      </c>
      <c r="I21">
        <f>SP32!J23</f>
        <v>18</v>
      </c>
      <c r="J21">
        <f>SP32!K23</f>
        <v>16</v>
      </c>
      <c r="K21">
        <f>SP32!L23</f>
        <v>17</v>
      </c>
      <c r="L21" s="258">
        <f>SP32!AR23</f>
        <v>0</v>
      </c>
      <c r="M21" s="258">
        <f>SP32!AS23</f>
        <v>0</v>
      </c>
    </row>
    <row r="22" spans="1:13" ht="12.75">
      <c r="A22" t="s">
        <v>39</v>
      </c>
      <c r="B22">
        <f>SP32!C24</f>
        <v>22</v>
      </c>
      <c r="C22" t="e">
        <f>IF((SP32!D24)="Freilos",0,VLOOKUP(SP32!D24,'BA-Teilnehmer'!$G$6:$J$37,4,FALSE))</f>
        <v>#N/A</v>
      </c>
      <c r="D22" t="e">
        <f>IF((SP32!E24)="Freilos",0,VLOOKUP(SP32!E24,'BA-Teilnehmer'!$G$6:$J$37,4,FALSE))</f>
        <v>#N/A</v>
      </c>
      <c r="E22">
        <f>SP32!F24</f>
        <v>75</v>
      </c>
      <c r="F22">
        <f>SP32!G24</f>
        <v>57</v>
      </c>
      <c r="G22">
        <f>SP32!H24</f>
        <v>17</v>
      </c>
      <c r="H22">
        <f>SP32!I24</f>
        <v>16</v>
      </c>
      <c r="I22">
        <f>SP32!J24</f>
        <v>20</v>
      </c>
      <c r="J22">
        <f>SP32!K24</f>
        <v>11</v>
      </c>
      <c r="K22">
        <f>SP32!L24</f>
        <v>15</v>
      </c>
      <c r="L22" s="258">
        <f>SP32!AR24</f>
        <v>0</v>
      </c>
      <c r="M22" s="258">
        <f>SP32!AS24</f>
        <v>0</v>
      </c>
    </row>
    <row r="23" spans="1:13" ht="12.75">
      <c r="A23" t="s">
        <v>39</v>
      </c>
      <c r="B23">
        <f>SP32!C25</f>
        <v>23</v>
      </c>
      <c r="C23" t="e">
        <f>IF((SP32!D25)="Freilos",0,VLOOKUP(SP32!D25,'BA-Teilnehmer'!$G$6:$J$37,4,FALSE))</f>
        <v>#N/A</v>
      </c>
      <c r="D23" t="e">
        <f>IF((SP32!E25)="Freilos",0,VLOOKUP(SP32!E25,'BA-Teilnehmer'!$G$6:$J$37,4,FALSE))</f>
        <v>#N/A</v>
      </c>
      <c r="E23">
        <f>SP32!F25</f>
        <v>75</v>
      </c>
      <c r="F23">
        <f>SP32!G25</f>
        <v>50</v>
      </c>
      <c r="G23">
        <f>SP32!H25</f>
        <v>37</v>
      </c>
      <c r="H23">
        <f>SP32!I25</f>
        <v>36</v>
      </c>
      <c r="I23">
        <f>SP32!J25</f>
        <v>11</v>
      </c>
      <c r="J23">
        <f>SP32!K25</f>
        <v>11</v>
      </c>
      <c r="K23">
        <f>SP32!L25</f>
        <v>7</v>
      </c>
      <c r="L23" s="258">
        <f>SP32!AR25</f>
        <v>0</v>
      </c>
      <c r="M23" s="258">
        <f>SP32!AS25</f>
        <v>0</v>
      </c>
    </row>
    <row r="24" spans="1:13" ht="12.75">
      <c r="A24" t="s">
        <v>39</v>
      </c>
      <c r="B24">
        <f>SP32!C26</f>
        <v>24</v>
      </c>
      <c r="C24" t="e">
        <f>IF((SP32!D26)="Freilos",0,VLOOKUP(SP32!D26,'BA-Teilnehmer'!$G$6:$J$37,4,FALSE))</f>
        <v>#N/A</v>
      </c>
      <c r="D24" t="e">
        <f>IF((SP32!E26)="Freilos",0,VLOOKUP(SP32!E26,'BA-Teilnehmer'!$G$6:$J$37,4,FALSE))</f>
        <v>#N/A</v>
      </c>
      <c r="E24">
        <f>SP32!F26</f>
        <v>75</v>
      </c>
      <c r="F24">
        <f>SP32!G26</f>
        <v>69</v>
      </c>
      <c r="G24">
        <f>SP32!H26</f>
        <v>28</v>
      </c>
      <c r="H24">
        <f>SP32!I26</f>
        <v>27</v>
      </c>
      <c r="I24">
        <f>SP32!J26</f>
        <v>17</v>
      </c>
      <c r="J24">
        <f>SP32!K26</f>
        <v>13</v>
      </c>
      <c r="K24">
        <f>SP32!L26</f>
        <v>16</v>
      </c>
      <c r="L24" s="258">
        <f>SP32!AR26</f>
        <v>0</v>
      </c>
      <c r="M24" s="258">
        <f>SP32!AS26</f>
        <v>0</v>
      </c>
    </row>
    <row r="25" spans="1:13" ht="12.75">
      <c r="A25" t="str">
        <f>SP32!B27</f>
        <v>GR1</v>
      </c>
      <c r="B25">
        <f>SP32!C27</f>
        <v>25</v>
      </c>
      <c r="C25" t="e">
        <f>IF((SP32!D27)="Freilos",0,VLOOKUP(SP32!D27,'BA-Teilnehmer'!$G$6:$J$37,4,FALSE))</f>
        <v>#N/A</v>
      </c>
      <c r="D25" t="e">
        <f>IF((SP32!E27)="Freilos",0,VLOOKUP(SP32!E27,'BA-Teilnehmer'!$G$6:$J$37,4,FALSE))</f>
        <v>#N/A</v>
      </c>
      <c r="E25">
        <f>SP32!F27</f>
        <v>64</v>
      </c>
      <c r="F25">
        <f>SP32!G27</f>
        <v>75</v>
      </c>
      <c r="G25">
        <f>SP32!H27</f>
        <v>6</v>
      </c>
      <c r="H25">
        <f>SP32!I27</f>
        <v>7</v>
      </c>
      <c r="I25">
        <f>SP32!J27</f>
        <v>49</v>
      </c>
      <c r="J25">
        <f>SP32!K27</f>
        <v>45</v>
      </c>
      <c r="K25">
        <f>SP32!L27</f>
        <v>5</v>
      </c>
      <c r="L25" s="258">
        <f>SP32!AR27</f>
        <v>0</v>
      </c>
      <c r="M25" s="258">
        <f>SP32!AS27</f>
        <v>0</v>
      </c>
    </row>
    <row r="26" spans="1:13" ht="12.75">
      <c r="A26" t="s">
        <v>40</v>
      </c>
      <c r="B26">
        <f>SP32!C28</f>
        <v>26</v>
      </c>
      <c r="C26" t="e">
        <f>IF((SP32!D28)="Freilos",0,VLOOKUP(SP32!D28,'BA-Teilnehmer'!$G$6:$J$37,4,FALSE))</f>
        <v>#N/A</v>
      </c>
      <c r="D26" t="e">
        <f>IF((SP32!E28)="Freilos",0,VLOOKUP(SP32!E28,'BA-Teilnehmer'!$G$6:$J$37,4,FALSE))</f>
        <v>#N/A</v>
      </c>
      <c r="E26">
        <f>SP32!F28</f>
        <v>50</v>
      </c>
      <c r="F26">
        <f>SP32!G28</f>
        <v>75</v>
      </c>
      <c r="G26">
        <f>SP32!H28</f>
        <v>13</v>
      </c>
      <c r="H26">
        <f>SP32!I28</f>
        <v>14</v>
      </c>
      <c r="I26">
        <f>SP32!J28</f>
        <v>20</v>
      </c>
      <c r="J26">
        <f>SP32!K28</f>
        <v>21</v>
      </c>
      <c r="K26">
        <f>SP32!L28</f>
        <v>19</v>
      </c>
      <c r="L26" s="258">
        <f>SP32!AR28</f>
        <v>0</v>
      </c>
      <c r="M26" s="258">
        <f>SP32!AS28</f>
        <v>0</v>
      </c>
    </row>
    <row r="27" spans="1:13" ht="12.75">
      <c r="A27" t="s">
        <v>40</v>
      </c>
      <c r="B27">
        <f>SP32!C29</f>
        <v>27</v>
      </c>
      <c r="C27" t="e">
        <f>IF((SP32!D29)="Freilos",0,VLOOKUP(SP32!D29,'BA-Teilnehmer'!$G$6:$J$37,4,FALSE))</f>
        <v>#N/A</v>
      </c>
      <c r="D27" t="e">
        <f>IF((SP32!E29)="Freilos",0,VLOOKUP(SP32!E29,'BA-Teilnehmer'!$G$6:$J$37,4,FALSE))</f>
        <v>#N/A</v>
      </c>
      <c r="E27">
        <f>SP32!F29</f>
        <v>63</v>
      </c>
      <c r="F27">
        <f>SP32!G29</f>
        <v>75</v>
      </c>
      <c r="G27">
        <f>SP32!H29</f>
        <v>6</v>
      </c>
      <c r="H27">
        <f>SP32!I29</f>
        <v>7</v>
      </c>
      <c r="I27">
        <f>SP32!J29</f>
        <v>28</v>
      </c>
      <c r="J27">
        <f>SP32!K29</f>
        <v>43</v>
      </c>
      <c r="K27">
        <f>SP32!L29</f>
        <v>11</v>
      </c>
      <c r="L27" s="258">
        <f>SP32!AR29</f>
        <v>0</v>
      </c>
      <c r="M27" s="258">
        <f>SP32!AS29</f>
        <v>0</v>
      </c>
    </row>
    <row r="28" spans="1:13" ht="12.75">
      <c r="A28" t="s">
        <v>40</v>
      </c>
      <c r="B28">
        <f>SP32!C30</f>
        <v>28</v>
      </c>
      <c r="C28" t="e">
        <f>IF((SP32!D30)="Freilos",0,VLOOKUP(SP32!D30,'BA-Teilnehmer'!$G$6:$J$37,4,FALSE))</f>
        <v>#N/A</v>
      </c>
      <c r="D28" t="e">
        <f>IF((SP32!E30)="Freilos",0,VLOOKUP(SP32!E30,'BA-Teilnehmer'!$G$6:$J$37,4,FALSE))</f>
        <v>#N/A</v>
      </c>
      <c r="E28">
        <f>SP32!F30</f>
        <v>75</v>
      </c>
      <c r="F28">
        <f>SP32!G30</f>
        <v>64</v>
      </c>
      <c r="G28">
        <f>SP32!H30</f>
        <v>23</v>
      </c>
      <c r="H28">
        <f>SP32!I30</f>
        <v>22</v>
      </c>
      <c r="I28">
        <f>SP32!J30</f>
        <v>20</v>
      </c>
      <c r="J28">
        <f>SP32!K30</f>
        <v>10</v>
      </c>
      <c r="K28">
        <f>SP32!L30</f>
        <v>7</v>
      </c>
      <c r="L28" s="258">
        <f>SP32!AR30</f>
        <v>0</v>
      </c>
      <c r="M28" s="258">
        <f>SP32!AS30</f>
        <v>0</v>
      </c>
    </row>
    <row r="29" spans="1:13" ht="12.75">
      <c r="A29" t="s">
        <v>40</v>
      </c>
      <c r="B29">
        <f>SP32!C31</f>
        <v>29</v>
      </c>
      <c r="C29" t="e">
        <f>IF((SP32!D31)="Freilos",0,VLOOKUP(SP32!D31,'BA-Teilnehmer'!$G$6:$J$37,4,FALSE))</f>
        <v>#N/A</v>
      </c>
      <c r="D29" t="e">
        <f>IF((SP32!E31)="Freilos",0,VLOOKUP(SP32!E31,'BA-Teilnehmer'!$G$6:$J$37,4,FALSE))</f>
        <v>#N/A</v>
      </c>
      <c r="E29">
        <f>SP32!F31</f>
        <v>75</v>
      </c>
      <c r="F29">
        <f>SP32!G31</f>
        <v>52</v>
      </c>
      <c r="G29">
        <f>SP32!H31</f>
        <v>29</v>
      </c>
      <c r="H29">
        <f>SP32!I31</f>
        <v>28</v>
      </c>
      <c r="I29">
        <f>SP32!J31</f>
        <v>20</v>
      </c>
      <c r="J29">
        <f>SP32!K31</f>
        <v>8</v>
      </c>
      <c r="K29">
        <f>SP32!L31</f>
        <v>13</v>
      </c>
      <c r="L29" s="258">
        <f>SP32!AR31</f>
        <v>0</v>
      </c>
      <c r="M29" s="258">
        <f>SP32!AS31</f>
        <v>0</v>
      </c>
    </row>
    <row r="30" spans="1:13" ht="12.75">
      <c r="A30" t="s">
        <v>40</v>
      </c>
      <c r="B30">
        <f>SP32!C32</f>
        <v>30</v>
      </c>
      <c r="C30" t="e">
        <f>IF((SP32!D32)="Freilos",0,VLOOKUP(SP32!D32,'BA-Teilnehmer'!$G$6:$J$37,4,FALSE))</f>
        <v>#N/A</v>
      </c>
      <c r="D30" t="e">
        <f>IF((SP32!E32)="Freilos",0,VLOOKUP(SP32!E32,'BA-Teilnehmer'!$G$6:$J$37,4,FALSE))</f>
        <v>#N/A</v>
      </c>
      <c r="E30">
        <f>SP32!F32</f>
        <v>75</v>
      </c>
      <c r="F30">
        <f>SP32!G32</f>
        <v>60</v>
      </c>
      <c r="G30">
        <f>SP32!H32</f>
        <v>17</v>
      </c>
      <c r="H30">
        <f>SP32!I32</f>
        <v>16</v>
      </c>
      <c r="I30">
        <f>SP32!J32</f>
        <v>27</v>
      </c>
      <c r="J30">
        <f>SP32!K32</f>
        <v>20</v>
      </c>
      <c r="K30">
        <f>SP32!L32</f>
        <v>9</v>
      </c>
      <c r="L30" s="258">
        <f>SP32!AR32</f>
        <v>0</v>
      </c>
      <c r="M30" s="258">
        <f>SP32!AS32</f>
        <v>0</v>
      </c>
    </row>
    <row r="31" spans="1:13" ht="12.75">
      <c r="A31" t="s">
        <v>40</v>
      </c>
      <c r="B31">
        <f>SP32!C33</f>
        <v>31</v>
      </c>
      <c r="C31" t="e">
        <f>IF((SP32!D33)="Freilos",0,VLOOKUP(SP32!D33,'BA-Teilnehmer'!$G$6:$J$37,4,FALSE))</f>
        <v>#N/A</v>
      </c>
      <c r="D31" t="e">
        <f>IF((SP32!E33)="Freilos",0,VLOOKUP(SP32!E33,'BA-Teilnehmer'!$G$6:$J$37,4,FALSE))</f>
        <v>#N/A</v>
      </c>
      <c r="E31">
        <f>SP32!F33</f>
        <v>65</v>
      </c>
      <c r="F31">
        <f>SP32!G33</f>
        <v>75</v>
      </c>
      <c r="G31">
        <f>SP32!H33</f>
        <v>30</v>
      </c>
      <c r="H31">
        <f>SP32!I33</f>
        <v>30</v>
      </c>
      <c r="I31">
        <f>SP32!J33</f>
        <v>11</v>
      </c>
      <c r="J31">
        <f>SP32!K33</f>
        <v>15</v>
      </c>
      <c r="K31">
        <f>SP32!L33</f>
        <v>15</v>
      </c>
      <c r="L31" s="258">
        <f>SP32!AR33</f>
        <v>0</v>
      </c>
      <c r="M31" s="258">
        <f>SP32!AS33</f>
        <v>0</v>
      </c>
    </row>
    <row r="32" spans="1:13" ht="12.75">
      <c r="A32" t="s">
        <v>40</v>
      </c>
      <c r="B32">
        <f>SP32!C34</f>
        <v>32</v>
      </c>
      <c r="C32" t="e">
        <f>IF((SP32!D34)="Freilos",0,VLOOKUP(SP32!D34,'BA-Teilnehmer'!$G$6:$J$37,4,FALSE))</f>
        <v>#N/A</v>
      </c>
      <c r="D32" t="e">
        <f>IF((SP32!E34)="Freilos",0,VLOOKUP(SP32!E34,'BA-Teilnehmer'!$G$6:$J$37,4,FALSE))</f>
        <v>#N/A</v>
      </c>
      <c r="E32">
        <f>SP32!F34</f>
        <v>75</v>
      </c>
      <c r="F32">
        <f>SP32!G34</f>
        <v>56</v>
      </c>
      <c r="G32">
        <f>SP32!H34</f>
        <v>7</v>
      </c>
      <c r="H32">
        <f>SP32!I34</f>
        <v>7</v>
      </c>
      <c r="I32">
        <f>SP32!J34</f>
        <v>30</v>
      </c>
      <c r="J32">
        <f>SP32!K34</f>
        <v>19</v>
      </c>
      <c r="K32">
        <f>SP32!L34</f>
        <v>20</v>
      </c>
      <c r="L32" s="258">
        <f>SP32!AR34</f>
        <v>0</v>
      </c>
      <c r="M32" s="258">
        <f>SP32!AS34</f>
        <v>0</v>
      </c>
    </row>
    <row r="33" spans="1:13" ht="12.75">
      <c r="A33" t="str">
        <f>SP32!B35</f>
        <v>VR2</v>
      </c>
      <c r="B33">
        <f>SP32!C35</f>
        <v>33</v>
      </c>
      <c r="C33" t="e">
        <f>IF((SP32!D35)="Freilos",0,VLOOKUP(SP32!D35,'BA-Teilnehmer'!$G$6:$J$37,4,FALSE))</f>
        <v>#N/A</v>
      </c>
      <c r="D33" t="e">
        <f>IF((SP32!E35)="Freilos",0,VLOOKUP(SP32!E35,'BA-Teilnehmer'!$G$6:$J$37,4,FALSE))</f>
        <v>#N/A</v>
      </c>
      <c r="E33">
        <f>SP32!F35</f>
        <v>0</v>
      </c>
      <c r="F33">
        <f>SP32!G35</f>
        <v>75</v>
      </c>
      <c r="G33">
        <f>SP32!H35</f>
        <v>3</v>
      </c>
      <c r="H33">
        <f>SP32!I35</f>
        <v>4</v>
      </c>
      <c r="I33">
        <f>SP32!J35</f>
        <v>0</v>
      </c>
      <c r="J33">
        <f>SP32!K35</f>
        <v>43</v>
      </c>
      <c r="K33">
        <f>SP32!L35</f>
        <v>11</v>
      </c>
      <c r="L33" s="258">
        <f>SP32!AR35</f>
        <v>0</v>
      </c>
      <c r="M33" s="258">
        <f>SP32!AS35</f>
        <v>0</v>
      </c>
    </row>
    <row r="34" spans="1:13" ht="12.75">
      <c r="A34" t="s">
        <v>41</v>
      </c>
      <c r="B34">
        <f>SP32!C36</f>
        <v>34</v>
      </c>
      <c r="C34" t="e">
        <f>IF((SP32!D36)="Freilos",0,VLOOKUP(SP32!D36,'BA-Teilnehmer'!$G$6:$J$37,4,FALSE))</f>
        <v>#N/A</v>
      </c>
      <c r="D34" t="e">
        <f>IF((SP32!E36)="Freilos",0,VLOOKUP(SP32!E36,'BA-Teilnehmer'!$G$6:$J$37,4,FALSE))</f>
        <v>#N/A</v>
      </c>
      <c r="E34">
        <f>SP32!F36</f>
        <v>75</v>
      </c>
      <c r="F34">
        <f>SP32!G36</f>
        <v>36</v>
      </c>
      <c r="G34">
        <f>SP32!H36</f>
        <v>11</v>
      </c>
      <c r="H34">
        <f>SP32!I36</f>
        <v>11</v>
      </c>
      <c r="I34">
        <f>SP32!J36</f>
        <v>34</v>
      </c>
      <c r="J34">
        <f>SP32!K36</f>
        <v>10</v>
      </c>
      <c r="K34">
        <f>SP32!L36</f>
        <v>15</v>
      </c>
      <c r="L34" s="258">
        <f>SP32!AR36</f>
        <v>0</v>
      </c>
      <c r="M34" s="258">
        <f>SP32!AS36</f>
        <v>0</v>
      </c>
    </row>
    <row r="35" spans="1:13" ht="12.75">
      <c r="A35" t="s">
        <v>41</v>
      </c>
      <c r="B35">
        <f>SP32!C37</f>
        <v>35</v>
      </c>
      <c r="C35" t="e">
        <f>IF((SP32!D37)="Freilos",0,VLOOKUP(SP32!D37,'BA-Teilnehmer'!$G$6:$J$37,4,FALSE))</f>
        <v>#N/A</v>
      </c>
      <c r="D35" t="e">
        <f>IF((SP32!E37)="Freilos",0,VLOOKUP(SP32!E37,'BA-Teilnehmer'!$G$6:$J$37,4,FALSE))</f>
        <v>#N/A</v>
      </c>
      <c r="E35">
        <f>SP32!F37</f>
        <v>75</v>
      </c>
      <c r="F35">
        <f>SP32!G37</f>
        <v>28</v>
      </c>
      <c r="G35">
        <f>SP32!H37</f>
        <v>8</v>
      </c>
      <c r="H35">
        <f>SP32!I37</f>
        <v>8</v>
      </c>
      <c r="I35">
        <f>SP32!J37</f>
        <v>70</v>
      </c>
      <c r="J35">
        <f>SP32!K37</f>
        <v>17</v>
      </c>
      <c r="K35">
        <f>SP32!L37</f>
        <v>19</v>
      </c>
      <c r="L35" s="258">
        <f>SP32!AR37</f>
        <v>0</v>
      </c>
      <c r="M35" s="258">
        <f>SP32!AS37</f>
        <v>0</v>
      </c>
    </row>
    <row r="36" spans="1:13" ht="12.75">
      <c r="A36" t="s">
        <v>41</v>
      </c>
      <c r="B36">
        <f>SP32!C38</f>
        <v>36</v>
      </c>
      <c r="C36" t="e">
        <f>IF((SP32!D38)="Freilos",0,VLOOKUP(SP32!D38,'BA-Teilnehmer'!$G$6:$J$37,4,FALSE))</f>
        <v>#N/A</v>
      </c>
      <c r="D36" t="e">
        <f>IF((SP32!E38)="Freilos",0,VLOOKUP(SP32!E38,'BA-Teilnehmer'!$G$6:$J$37,4,FALSE))</f>
        <v>#N/A</v>
      </c>
      <c r="E36">
        <f>SP32!F38</f>
        <v>73</v>
      </c>
      <c r="F36">
        <f>SP32!G38</f>
        <v>75</v>
      </c>
      <c r="G36">
        <f>SP32!H38</f>
        <v>19</v>
      </c>
      <c r="H36">
        <f>SP32!I38</f>
        <v>19</v>
      </c>
      <c r="I36">
        <f>SP32!J38</f>
        <v>32</v>
      </c>
      <c r="J36">
        <f>SP32!K38</f>
        <v>18</v>
      </c>
      <c r="K36">
        <f>SP32!L38</f>
        <v>16</v>
      </c>
      <c r="L36" s="258">
        <f>SP32!AR38</f>
        <v>0</v>
      </c>
      <c r="M36" s="258">
        <f>SP32!AS38</f>
        <v>0</v>
      </c>
    </row>
    <row r="37" spans="1:13" ht="12.75">
      <c r="A37" t="s">
        <v>41</v>
      </c>
      <c r="B37">
        <f>SP32!C39</f>
        <v>37</v>
      </c>
      <c r="C37" t="e">
        <f>IF((SP32!D39)="Freilos",0,VLOOKUP(SP32!D39,'BA-Teilnehmer'!$G$6:$J$37,4,FALSE))</f>
        <v>#N/A</v>
      </c>
      <c r="D37" t="e">
        <f>IF((SP32!E39)="Freilos",0,VLOOKUP(SP32!E39,'BA-Teilnehmer'!$G$6:$J$37,4,FALSE))</f>
        <v>#N/A</v>
      </c>
      <c r="E37">
        <f>SP32!F39</f>
        <v>17</v>
      </c>
      <c r="F37">
        <f>SP32!G39</f>
        <v>75</v>
      </c>
      <c r="G37">
        <f>SP32!H39</f>
        <v>9</v>
      </c>
      <c r="H37">
        <f>SP32!I39</f>
        <v>9</v>
      </c>
      <c r="I37">
        <f>SP32!J39</f>
        <v>7</v>
      </c>
      <c r="J37">
        <f>SP32!K39</f>
        <v>33</v>
      </c>
      <c r="K37">
        <f>SP32!L39</f>
        <v>17</v>
      </c>
      <c r="L37" s="258">
        <f>SP32!AR39</f>
        <v>0</v>
      </c>
      <c r="M37" s="258">
        <f>SP32!AS39</f>
        <v>0</v>
      </c>
    </row>
    <row r="38" spans="1:13" ht="12.75">
      <c r="A38" t="s">
        <v>41</v>
      </c>
      <c r="B38">
        <f>SP32!C40</f>
        <v>38</v>
      </c>
      <c r="C38" t="e">
        <f>IF((SP32!D40)="Freilos",0,VLOOKUP(SP32!D40,'BA-Teilnehmer'!$G$6:$J$37,4,FALSE))</f>
        <v>#N/A</v>
      </c>
      <c r="D38" t="e">
        <f>IF((SP32!E40)="Freilos",0,VLOOKUP(SP32!E40,'BA-Teilnehmer'!$G$6:$J$37,4,FALSE))</f>
        <v>#N/A</v>
      </c>
      <c r="E38">
        <f>SP32!F40</f>
        <v>75</v>
      </c>
      <c r="F38">
        <f>SP32!G40</f>
        <v>32</v>
      </c>
      <c r="G38">
        <f>SP32!H40</f>
        <v>14</v>
      </c>
      <c r="H38">
        <f>SP32!I40</f>
        <v>14</v>
      </c>
      <c r="I38">
        <f>SP32!J40</f>
        <v>23</v>
      </c>
      <c r="J38">
        <f>SP32!K40</f>
        <v>14</v>
      </c>
      <c r="K38">
        <f>SP32!L40</f>
        <v>18</v>
      </c>
      <c r="L38" s="258">
        <f>SP32!AR40</f>
        <v>0</v>
      </c>
      <c r="M38" s="258">
        <f>SP32!AS40</f>
        <v>0</v>
      </c>
    </row>
    <row r="39" spans="1:13" ht="12.75">
      <c r="A39" t="s">
        <v>41</v>
      </c>
      <c r="B39">
        <f>SP32!C41</f>
        <v>39</v>
      </c>
      <c r="C39" t="e">
        <f>IF((SP32!D41)="Freilos",0,VLOOKUP(SP32!D41,'BA-Teilnehmer'!$G$6:$J$37,4,FALSE))</f>
        <v>#N/A</v>
      </c>
      <c r="D39" t="e">
        <f>IF((SP32!E41)="Freilos",0,VLOOKUP(SP32!E41,'BA-Teilnehmer'!$G$6:$J$37,4,FALSE))</f>
        <v>#N/A</v>
      </c>
      <c r="E39">
        <f>SP32!F41</f>
        <v>28</v>
      </c>
      <c r="F39">
        <f>SP32!G41</f>
        <v>75</v>
      </c>
      <c r="G39">
        <f>SP32!H41</f>
        <v>19</v>
      </c>
      <c r="H39">
        <f>SP32!I41</f>
        <v>20</v>
      </c>
      <c r="I39">
        <f>SP32!J41</f>
        <v>7</v>
      </c>
      <c r="J39">
        <f>SP32!K41</f>
        <v>15</v>
      </c>
      <c r="K39">
        <f>SP32!L41</f>
        <v>18</v>
      </c>
      <c r="L39" s="258">
        <f>SP32!AR41</f>
        <v>0</v>
      </c>
      <c r="M39" s="258">
        <f>SP32!AS41</f>
        <v>0</v>
      </c>
    </row>
    <row r="40" spans="1:13" ht="12.75">
      <c r="A40" t="s">
        <v>41</v>
      </c>
      <c r="B40">
        <f>SP32!C42</f>
        <v>40</v>
      </c>
      <c r="C40" t="e">
        <f>IF((SP32!D42)="Freilos",0,VLOOKUP(SP32!D42,'BA-Teilnehmer'!$G$6:$J$37,4,FALSE))</f>
        <v>#N/A</v>
      </c>
      <c r="D40" t="e">
        <f>IF((SP32!E42)="Freilos",0,VLOOKUP(SP32!E42,'BA-Teilnehmer'!$G$6:$J$37,4,FALSE))</f>
        <v>#N/A</v>
      </c>
      <c r="E40">
        <f>SP32!F42</f>
        <v>70</v>
      </c>
      <c r="F40">
        <f>SP32!G42</f>
        <v>75</v>
      </c>
      <c r="G40">
        <f>SP32!H42</f>
        <v>17</v>
      </c>
      <c r="H40">
        <f>SP32!I42</f>
        <v>17</v>
      </c>
      <c r="I40">
        <f>SP32!J42</f>
        <v>18</v>
      </c>
      <c r="J40">
        <f>SP32!K42</f>
        <v>25</v>
      </c>
      <c r="K40">
        <f>SP32!L42</f>
        <v>13</v>
      </c>
      <c r="L40" s="258">
        <f>SP32!AR42</f>
        <v>0</v>
      </c>
      <c r="M40" s="258">
        <f>SP32!AS42</f>
        <v>0</v>
      </c>
    </row>
    <row r="41" spans="1:13" ht="12.75">
      <c r="A41" t="str">
        <f>SP32!B43</f>
        <v>VR3</v>
      </c>
      <c r="B41">
        <f>SP32!C43</f>
        <v>41</v>
      </c>
      <c r="C41" t="e">
        <f>IF((SP32!D43)="Freilos",0,VLOOKUP(SP32!D43,'BA-Teilnehmer'!$G$6:$J$37,4,FALSE))</f>
        <v>#N/A</v>
      </c>
      <c r="D41" t="e">
        <f>IF((SP32!E43)="Freilos",0,VLOOKUP(SP32!E43,'BA-Teilnehmer'!$G$6:$J$37,4,FALSE))</f>
        <v>#N/A</v>
      </c>
      <c r="E41">
        <f>SP32!F43</f>
        <v>75</v>
      </c>
      <c r="F41">
        <f>SP32!G43</f>
        <v>38</v>
      </c>
      <c r="G41">
        <f>SP32!H43</f>
        <v>11</v>
      </c>
      <c r="H41">
        <f>SP32!I43</f>
        <v>11</v>
      </c>
      <c r="I41">
        <f>SP32!J43</f>
        <v>29</v>
      </c>
      <c r="J41">
        <f>SP32!K43</f>
        <v>26</v>
      </c>
      <c r="K41">
        <f>SP32!L43</f>
        <v>20</v>
      </c>
      <c r="L41" s="258">
        <f>SP32!AR43</f>
        <v>0</v>
      </c>
      <c r="M41" s="258">
        <f>SP32!AS43</f>
        <v>0</v>
      </c>
    </row>
    <row r="42" spans="1:13" ht="12.75">
      <c r="A42" t="s">
        <v>42</v>
      </c>
      <c r="B42">
        <f>SP32!C44</f>
        <v>42</v>
      </c>
      <c r="C42" t="e">
        <f>IF((SP32!D44)="Freilos",0,VLOOKUP(SP32!D44,'BA-Teilnehmer'!$G$6:$J$37,4,FALSE))</f>
        <v>#N/A</v>
      </c>
      <c r="D42" t="e">
        <f>IF((SP32!E44)="Freilos",0,VLOOKUP(SP32!E44,'BA-Teilnehmer'!$G$6:$J$37,4,FALSE))</f>
        <v>#N/A</v>
      </c>
      <c r="E42">
        <f>SP32!F44</f>
        <v>75</v>
      </c>
      <c r="F42">
        <f>SP32!G44</f>
        <v>51</v>
      </c>
      <c r="G42">
        <f>SP32!H44</f>
        <v>9</v>
      </c>
      <c r="H42">
        <f>SP32!I44</f>
        <v>9</v>
      </c>
      <c r="I42">
        <f>SP32!J44</f>
        <v>30</v>
      </c>
      <c r="J42">
        <f>SP32!K44</f>
        <v>25</v>
      </c>
      <c r="K42">
        <f>SP32!L44</f>
        <v>16</v>
      </c>
      <c r="L42" s="258">
        <f>SP32!AR44</f>
        <v>0</v>
      </c>
      <c r="M42" s="258">
        <f>SP32!AS44</f>
        <v>0</v>
      </c>
    </row>
    <row r="43" spans="1:13" ht="12.75">
      <c r="A43" t="s">
        <v>42</v>
      </c>
      <c r="B43">
        <f>SP32!C45</f>
        <v>43</v>
      </c>
      <c r="C43" t="e">
        <f>IF((SP32!D45)="Freilos",0,VLOOKUP(SP32!D45,'BA-Teilnehmer'!$G$6:$J$37,4,FALSE))</f>
        <v>#N/A</v>
      </c>
      <c r="D43" t="e">
        <f>IF((SP32!E45)="Freilos",0,VLOOKUP(SP32!E45,'BA-Teilnehmer'!$G$6:$J$37,4,FALSE))</f>
        <v>#N/A</v>
      </c>
      <c r="E43">
        <f>SP32!F45</f>
        <v>75</v>
      </c>
      <c r="F43">
        <f>SP32!G45</f>
        <v>20</v>
      </c>
      <c r="G43">
        <f>SP32!H45</f>
        <v>11</v>
      </c>
      <c r="H43">
        <f>SP32!I45</f>
        <v>11</v>
      </c>
      <c r="I43">
        <f>SP32!J45</f>
        <v>43</v>
      </c>
      <c r="J43">
        <f>SP32!K45</f>
        <v>7</v>
      </c>
      <c r="K43">
        <f>SP32!L45</f>
        <v>19</v>
      </c>
      <c r="L43" s="258">
        <f>SP32!AR45</f>
        <v>0</v>
      </c>
      <c r="M43" s="258">
        <f>SP32!AS45</f>
        <v>0</v>
      </c>
    </row>
    <row r="44" spans="1:13" ht="12.75">
      <c r="A44" t="s">
        <v>42</v>
      </c>
      <c r="B44">
        <f>SP32!C46</f>
        <v>44</v>
      </c>
      <c r="C44" t="e">
        <f>IF((SP32!D46)="Freilos",0,VLOOKUP(SP32!D46,'BA-Teilnehmer'!$G$6:$J$37,4,FALSE))</f>
        <v>#N/A</v>
      </c>
      <c r="D44" t="e">
        <f>IF((SP32!E46)="Freilos",0,VLOOKUP(SP32!E46,'BA-Teilnehmer'!$G$6:$J$37,4,FALSE))</f>
        <v>#N/A</v>
      </c>
      <c r="E44">
        <f>SP32!F46</f>
        <v>-2</v>
      </c>
      <c r="F44">
        <f>SP32!G46</f>
        <v>75</v>
      </c>
      <c r="G44">
        <f>SP32!H46</f>
        <v>3</v>
      </c>
      <c r="H44">
        <f>SP32!I46</f>
        <v>3</v>
      </c>
      <c r="I44">
        <f>SP32!J46</f>
        <v>-2</v>
      </c>
      <c r="J44">
        <f>SP32!K46</f>
        <v>32</v>
      </c>
      <c r="K44">
        <f>SP32!L46</f>
        <v>16</v>
      </c>
      <c r="L44" s="258">
        <f>SP32!AR46</f>
        <v>0</v>
      </c>
      <c r="M44" s="258">
        <f>SP32!AS46</f>
        <v>0</v>
      </c>
    </row>
    <row r="45" spans="1:13" ht="12.75">
      <c r="A45" t="str">
        <f>SP32!B47</f>
        <v>GR2</v>
      </c>
      <c r="B45">
        <f>SP32!C47</f>
        <v>45</v>
      </c>
      <c r="C45" t="e">
        <f>IF((SP32!D47)="Freilos",0,VLOOKUP(SP32!D47,'BA-Teilnehmer'!$G$6:$J$37,4,FALSE))</f>
        <v>#N/A</v>
      </c>
      <c r="D45" t="e">
        <f>IF((SP32!E47)="Freilos",0,VLOOKUP(SP32!E47,'BA-Teilnehmer'!$G$6:$J$37,4,FALSE))</f>
        <v>#N/A</v>
      </c>
      <c r="E45">
        <f>SP32!F47</f>
        <v>75</v>
      </c>
      <c r="F45">
        <f>SP32!G47</f>
        <v>34</v>
      </c>
      <c r="G45">
        <f>SP32!H47</f>
        <v>17</v>
      </c>
      <c r="H45">
        <f>SP32!I47</f>
        <v>17</v>
      </c>
      <c r="I45">
        <f>SP32!J47</f>
        <v>37</v>
      </c>
      <c r="J45">
        <f>SP32!K47</f>
        <v>17</v>
      </c>
      <c r="K45">
        <f>SP32!L47</f>
        <v>20</v>
      </c>
      <c r="L45" s="258">
        <f>SP32!AR47</f>
        <v>0</v>
      </c>
      <c r="M45" s="258">
        <f>SP32!AS47</f>
        <v>0</v>
      </c>
    </row>
    <row r="46" spans="1:13" ht="12.75">
      <c r="A46" t="str">
        <f>$A$45</f>
        <v>GR2</v>
      </c>
      <c r="B46">
        <f>SP32!C48</f>
        <v>46</v>
      </c>
      <c r="C46" t="e">
        <f>IF((SP32!D48)="Freilos",0,VLOOKUP(SP32!D48,'BA-Teilnehmer'!$G$6:$J$37,4,FALSE))</f>
        <v>#N/A</v>
      </c>
      <c r="D46" t="e">
        <f>IF((SP32!E48)="Freilos",0,VLOOKUP(SP32!E48,'BA-Teilnehmer'!$G$6:$J$37,4,FALSE))</f>
        <v>#N/A</v>
      </c>
      <c r="E46">
        <f>SP32!F48</f>
        <v>75</v>
      </c>
      <c r="F46">
        <f>SP32!G48</f>
        <v>2</v>
      </c>
      <c r="G46">
        <f>SP32!H48</f>
        <v>6</v>
      </c>
      <c r="H46">
        <f>SP32!I48</f>
        <v>6</v>
      </c>
      <c r="I46">
        <f>SP32!J48</f>
        <v>34</v>
      </c>
      <c r="J46">
        <f>SP32!K48</f>
        <v>1</v>
      </c>
      <c r="K46">
        <f>SP32!L48</f>
        <v>14</v>
      </c>
      <c r="L46" s="258">
        <f>SP32!AR48</f>
        <v>0</v>
      </c>
      <c r="M46" s="258">
        <f>SP32!AS48</f>
        <v>0</v>
      </c>
    </row>
    <row r="47" spans="1:13" ht="12.75">
      <c r="A47" t="str">
        <f>$A$45</f>
        <v>GR2</v>
      </c>
      <c r="B47">
        <f>SP32!C49</f>
        <v>47</v>
      </c>
      <c r="C47" t="e">
        <f>IF((SP32!D49)="Freilos",0,VLOOKUP(SP32!D49,'BA-Teilnehmer'!$G$6:$J$37,4,FALSE))</f>
        <v>#N/A</v>
      </c>
      <c r="D47" t="e">
        <f>IF((SP32!E49)="Freilos",0,VLOOKUP(SP32!E49,'BA-Teilnehmer'!$G$6:$J$37,4,FALSE))</f>
        <v>#N/A</v>
      </c>
      <c r="E47">
        <f>SP32!F49</f>
        <v>60</v>
      </c>
      <c r="F47">
        <f>SP32!G49</f>
        <v>75</v>
      </c>
      <c r="G47">
        <f>SP32!H49</f>
        <v>19</v>
      </c>
      <c r="H47">
        <f>SP32!I49</f>
        <v>20</v>
      </c>
      <c r="I47">
        <f>SP32!J49</f>
        <v>14</v>
      </c>
      <c r="J47">
        <f>SP32!K49</f>
        <v>11</v>
      </c>
      <c r="K47">
        <f>SP32!L49</f>
        <v>9</v>
      </c>
      <c r="L47" s="258">
        <f>SP32!AR49</f>
        <v>0</v>
      </c>
      <c r="M47" s="258">
        <f>SP32!AS49</f>
        <v>0</v>
      </c>
    </row>
    <row r="48" spans="1:13" ht="12.75">
      <c r="A48" t="str">
        <f>$A$45</f>
        <v>GR2</v>
      </c>
      <c r="B48">
        <f>SP32!C50</f>
        <v>48</v>
      </c>
      <c r="C48" t="e">
        <f>IF((SP32!D50)="Freilos",0,VLOOKUP(SP32!D50,'BA-Teilnehmer'!$G$6:$J$37,4,FALSE))</f>
        <v>#N/A</v>
      </c>
      <c r="D48" t="e">
        <f>IF((SP32!E50)="Freilos",0,VLOOKUP(SP32!E50,'BA-Teilnehmer'!$G$6:$J$37,4,FALSE))</f>
        <v>#N/A</v>
      </c>
      <c r="E48">
        <f>SP32!F50</f>
        <v>75</v>
      </c>
      <c r="F48">
        <f>SP32!G50</f>
        <v>29</v>
      </c>
      <c r="G48">
        <f>SP32!H50</f>
        <v>8</v>
      </c>
      <c r="H48">
        <f>SP32!I50</f>
        <v>7</v>
      </c>
      <c r="I48">
        <f>SP32!J50</f>
        <v>16</v>
      </c>
      <c r="J48">
        <f>SP32!K50</f>
        <v>14</v>
      </c>
      <c r="K48">
        <f>SP32!L50</f>
        <v>17</v>
      </c>
      <c r="L48" s="258">
        <f>SP32!AR50</f>
        <v>0</v>
      </c>
      <c r="M48" s="258">
        <f>SP32!AS50</f>
        <v>0</v>
      </c>
    </row>
    <row r="49" spans="1:13" ht="12.75">
      <c r="A49" t="str">
        <f>SP32!B51</f>
        <v>VR4</v>
      </c>
      <c r="B49">
        <f>SP32!C51</f>
        <v>49</v>
      </c>
      <c r="C49" t="e">
        <f>IF((SP32!D51)="Freilos",0,VLOOKUP(SP32!D51,'BA-Teilnehmer'!$G$6:$J$37,4,FALSE))</f>
        <v>#N/A</v>
      </c>
      <c r="D49" t="e">
        <f>IF((SP32!E51)="Freilos",0,VLOOKUP(SP32!E51,'BA-Teilnehmer'!$G$6:$J$37,4,FALSE))</f>
        <v>#N/A</v>
      </c>
      <c r="E49">
        <f>SP32!F51</f>
        <v>75</v>
      </c>
      <c r="F49">
        <f>SP32!G51</f>
        <v>9</v>
      </c>
      <c r="G49">
        <f>SP32!H51</f>
        <v>6</v>
      </c>
      <c r="H49">
        <f>SP32!I51</f>
        <v>6</v>
      </c>
      <c r="I49">
        <f>SP32!J51</f>
        <v>28</v>
      </c>
      <c r="J49">
        <f>SP32!K51</f>
        <v>4</v>
      </c>
      <c r="K49">
        <f>SP32!L51</f>
        <v>20</v>
      </c>
      <c r="L49" s="258">
        <f>SP32!AR51</f>
        <v>0</v>
      </c>
      <c r="M49" s="258">
        <f>SP32!AS51</f>
        <v>0</v>
      </c>
    </row>
    <row r="50" spans="1:13" ht="12.75">
      <c r="A50" t="str">
        <f>$A$49</f>
        <v>VR4</v>
      </c>
      <c r="B50">
        <f>SP32!C52</f>
        <v>50</v>
      </c>
      <c r="C50" t="e">
        <f>IF((SP32!D52)="Freilos",0,VLOOKUP(SP32!D52,'BA-Teilnehmer'!$G$6:$J$37,4,FALSE))</f>
        <v>#N/A</v>
      </c>
      <c r="D50" t="e">
        <f>IF((SP32!E52)="Freilos",0,VLOOKUP(SP32!E52,'BA-Teilnehmer'!$G$6:$J$37,4,FALSE))</f>
        <v>#N/A</v>
      </c>
      <c r="E50">
        <f>SP32!F52</f>
        <v>75</v>
      </c>
      <c r="F50">
        <f>SP32!G52</f>
        <v>38</v>
      </c>
      <c r="G50">
        <f>SP32!H52</f>
        <v>9</v>
      </c>
      <c r="H50">
        <f>SP32!I52</f>
        <v>9</v>
      </c>
      <c r="I50">
        <f>SP32!J52</f>
        <v>28</v>
      </c>
      <c r="J50">
        <f>SP32!K52</f>
        <v>14</v>
      </c>
      <c r="K50">
        <f>SP32!L52</f>
        <v>17</v>
      </c>
      <c r="L50" s="258">
        <f>SP32!AR52</f>
        <v>0</v>
      </c>
      <c r="M50" s="258">
        <f>SP32!AS52</f>
        <v>0</v>
      </c>
    </row>
    <row r="51" spans="1:13" ht="12.75">
      <c r="A51" t="str">
        <f>$A$49</f>
        <v>VR4</v>
      </c>
      <c r="B51">
        <f>SP32!C53</f>
        <v>51</v>
      </c>
      <c r="C51" t="e">
        <f>IF((SP32!D53)="Freilos",0,VLOOKUP(SP32!D53,'BA-Teilnehmer'!$G$6:$J$37,4,FALSE))</f>
        <v>#N/A</v>
      </c>
      <c r="D51" t="e">
        <f>IF((SP32!E53)="Freilos",0,VLOOKUP(SP32!E53,'BA-Teilnehmer'!$G$6:$J$37,4,FALSE))</f>
        <v>#N/A</v>
      </c>
      <c r="E51">
        <f>SP32!F53</f>
        <v>30</v>
      </c>
      <c r="F51">
        <f>SP32!G53</f>
        <v>75</v>
      </c>
      <c r="G51">
        <f>SP32!H53</f>
        <v>8</v>
      </c>
      <c r="H51">
        <f>SP32!I53</f>
        <v>8</v>
      </c>
      <c r="I51">
        <f>SP32!J53</f>
        <v>14</v>
      </c>
      <c r="J51">
        <f>SP32!K53</f>
        <v>16</v>
      </c>
      <c r="K51">
        <f>SP32!L53</f>
        <v>19</v>
      </c>
      <c r="L51" s="258">
        <f>SP32!AR53</f>
        <v>0</v>
      </c>
      <c r="M51" s="258">
        <f>SP32!AS53</f>
        <v>0</v>
      </c>
    </row>
    <row r="52" spans="1:13" ht="12.75">
      <c r="A52" t="str">
        <f>$A$49</f>
        <v>VR4</v>
      </c>
      <c r="B52">
        <f>SP32!C54</f>
        <v>52</v>
      </c>
      <c r="C52" t="e">
        <f>IF((SP32!D54)="Freilos",0,VLOOKUP(SP32!D54,'BA-Teilnehmer'!$G$6:$J$37,4,FALSE))</f>
        <v>#N/A</v>
      </c>
      <c r="D52" t="e">
        <f>IF((SP32!E54)="Freilos",0,VLOOKUP(SP32!E54,'BA-Teilnehmer'!$G$6:$J$37,4,FALSE))</f>
        <v>#N/A</v>
      </c>
      <c r="E52">
        <f>SP32!F54</f>
        <v>75</v>
      </c>
      <c r="F52">
        <f>SP32!G54</f>
        <v>-2</v>
      </c>
      <c r="G52">
        <f>SP32!H54</f>
        <v>1</v>
      </c>
      <c r="H52">
        <f>SP32!I54</f>
        <v>1</v>
      </c>
      <c r="I52">
        <f>SP32!J54</f>
        <v>75</v>
      </c>
      <c r="J52">
        <f>SP32!K54</f>
        <v>-2</v>
      </c>
      <c r="K52">
        <f>SP32!L54</f>
        <v>16</v>
      </c>
      <c r="L52" s="258">
        <f>SP32!AR54</f>
        <v>0</v>
      </c>
      <c r="M52" s="258">
        <f>SP32!AS54</f>
        <v>0</v>
      </c>
    </row>
    <row r="53" spans="1:13" ht="12.75">
      <c r="A53" t="str">
        <f>SP32!B55</f>
        <v>1/4 Fin</v>
      </c>
      <c r="B53">
        <f>SP32!C55</f>
        <v>53</v>
      </c>
      <c r="C53" t="e">
        <f>IF((SP32!D55)="Freilos",0,VLOOKUP(SP32!D55,'BA-Teilnehmer'!$G$6:$J$37,4,FALSE))</f>
        <v>#N/A</v>
      </c>
      <c r="D53" t="e">
        <f>IF((SP32!E55)="Freilos",0,VLOOKUP(SP32!E55,'BA-Teilnehmer'!$G$6:$J$37,4,FALSE))</f>
        <v>#N/A</v>
      </c>
      <c r="E53">
        <f>SP32!F55</f>
        <v>15</v>
      </c>
      <c r="F53">
        <f>SP32!G55</f>
        <v>75</v>
      </c>
      <c r="G53">
        <f>SP32!H55</f>
        <v>5</v>
      </c>
      <c r="H53">
        <f>SP32!I55</f>
        <v>5</v>
      </c>
      <c r="I53">
        <f>SP32!J55</f>
        <v>14</v>
      </c>
      <c r="J53">
        <f>SP32!K55</f>
        <v>56</v>
      </c>
      <c r="K53">
        <f>SP32!L55</f>
        <v>16</v>
      </c>
      <c r="L53" s="258">
        <f>SP32!AR55</f>
        <v>0</v>
      </c>
      <c r="M53" s="258">
        <f>SP32!AS55</f>
        <v>0</v>
      </c>
    </row>
    <row r="54" spans="1:13" ht="12.75">
      <c r="A54" t="str">
        <f>$A$53</f>
        <v>1/4 Fin</v>
      </c>
      <c r="B54">
        <f>SP32!C56</f>
        <v>54</v>
      </c>
      <c r="C54" t="e">
        <f>IF((SP32!D56)="Freilos",0,VLOOKUP(SP32!D56,'BA-Teilnehmer'!$G$6:$J$37,4,FALSE))</f>
        <v>#N/A</v>
      </c>
      <c r="D54" t="e">
        <f>IF((SP32!E56)="Freilos",0,VLOOKUP(SP32!E56,'BA-Teilnehmer'!$G$6:$J$37,4,FALSE))</f>
        <v>#N/A</v>
      </c>
      <c r="E54">
        <f>SP32!F56</f>
        <v>34</v>
      </c>
      <c r="F54">
        <f>SP32!G56</f>
        <v>75</v>
      </c>
      <c r="G54">
        <f>SP32!H56</f>
        <v>6</v>
      </c>
      <c r="H54">
        <f>SP32!I56</f>
        <v>6</v>
      </c>
      <c r="I54">
        <f>SP32!J56</f>
        <v>18</v>
      </c>
      <c r="J54">
        <f>SP32!K56</f>
        <v>33</v>
      </c>
      <c r="K54">
        <f>SP32!L56</f>
        <v>19</v>
      </c>
      <c r="L54" s="258">
        <f>SP32!AR56</f>
        <v>0</v>
      </c>
      <c r="M54" s="258">
        <f>SP32!AS56</f>
        <v>0</v>
      </c>
    </row>
    <row r="55" spans="1:13" ht="12.75">
      <c r="A55" t="str">
        <f>$A$53</f>
        <v>1/4 Fin</v>
      </c>
      <c r="B55">
        <f>SP32!C57</f>
        <v>55</v>
      </c>
      <c r="C55" t="e">
        <f>IF((SP32!D57)="Freilos",0,VLOOKUP(SP32!D57,'BA-Teilnehmer'!$G$6:$J$37,4,FALSE))</f>
        <v>#N/A</v>
      </c>
      <c r="D55" t="e">
        <f>IF((SP32!E57)="Freilos",0,VLOOKUP(SP32!E57,'BA-Teilnehmer'!$G$6:$J$37,4,FALSE))</f>
        <v>#N/A</v>
      </c>
      <c r="E55">
        <f>SP32!F57</f>
        <v>29</v>
      </c>
      <c r="F55">
        <f>SP32!G57</f>
        <v>75</v>
      </c>
      <c r="G55">
        <f>SP32!H57</f>
        <v>7</v>
      </c>
      <c r="H55">
        <f>SP32!I57</f>
        <v>7</v>
      </c>
      <c r="I55">
        <f>SP32!J57</f>
        <v>16</v>
      </c>
      <c r="J55">
        <f>SP32!K57</f>
        <v>25</v>
      </c>
      <c r="K55">
        <f>SP32!L57</f>
        <v>17</v>
      </c>
      <c r="L55" s="258">
        <f>SP32!AR57</f>
        <v>0</v>
      </c>
      <c r="M55" s="258">
        <f>SP32!AS57</f>
        <v>0</v>
      </c>
    </row>
    <row r="56" spans="1:13" ht="12.75">
      <c r="A56" t="str">
        <f>$A$53</f>
        <v>1/4 Fin</v>
      </c>
      <c r="B56">
        <f>SP32!C58</f>
        <v>56</v>
      </c>
      <c r="C56" t="e">
        <f>IF((SP32!D58)="Freilos",0,VLOOKUP(SP32!D58,'BA-Teilnehmer'!$G$6:$J$37,4,FALSE))</f>
        <v>#N/A</v>
      </c>
      <c r="D56" t="e">
        <f>IF((SP32!E58)="Freilos",0,VLOOKUP(SP32!E58,'BA-Teilnehmer'!$G$6:$J$37,4,FALSE))</f>
        <v>#N/A</v>
      </c>
      <c r="E56">
        <f>SP32!F58</f>
        <v>61</v>
      </c>
      <c r="F56">
        <f>SP32!G58</f>
        <v>75</v>
      </c>
      <c r="G56">
        <f>SP32!H58</f>
        <v>14</v>
      </c>
      <c r="H56">
        <f>SP32!I58</f>
        <v>15</v>
      </c>
      <c r="I56">
        <f>SP32!J58</f>
        <v>15</v>
      </c>
      <c r="J56">
        <f>SP32!K58</f>
        <v>25</v>
      </c>
      <c r="K56">
        <f>SP32!L58</f>
        <v>19</v>
      </c>
      <c r="L56" s="258">
        <f>SP32!AR58</f>
        <v>0</v>
      </c>
      <c r="M56" s="258">
        <f>SP32!AS58</f>
        <v>0</v>
      </c>
    </row>
    <row r="57" spans="1:13" ht="12.75">
      <c r="A57" t="str">
        <f>SP32!B59</f>
        <v>1/2 Fin</v>
      </c>
      <c r="B57">
        <f>SP32!C59</f>
        <v>57</v>
      </c>
      <c r="C57" t="e">
        <f>IF((SP32!D59)="Freilos",0,VLOOKUP(SP32!D59,'BA-Teilnehmer'!$G$6:$J$37,4,FALSE))</f>
        <v>#N/A</v>
      </c>
      <c r="D57" t="e">
        <f>IF((SP32!E59)="Freilos",0,VLOOKUP(SP32!E59,'BA-Teilnehmer'!$G$6:$J$37,4,FALSE))</f>
        <v>#N/A</v>
      </c>
      <c r="E57">
        <f>SP32!F59</f>
        <v>75</v>
      </c>
      <c r="F57">
        <f>SP32!G59</f>
        <v>49</v>
      </c>
      <c r="G57">
        <f>SP32!H59</f>
        <v>7</v>
      </c>
      <c r="H57">
        <f>SP32!I59</f>
        <v>6</v>
      </c>
      <c r="I57">
        <f>SP32!J59</f>
        <v>32</v>
      </c>
      <c r="J57">
        <f>SP32!K59</f>
        <v>22</v>
      </c>
      <c r="K57">
        <f>SP32!L59</f>
        <v>20</v>
      </c>
      <c r="L57" s="258">
        <f>SP32!AR59</f>
        <v>0</v>
      </c>
      <c r="M57" s="258">
        <f>SP32!AS59</f>
        <v>0</v>
      </c>
    </row>
    <row r="58" spans="1:13" ht="12.75">
      <c r="A58" t="str">
        <f>A57</f>
        <v>1/2 Fin</v>
      </c>
      <c r="B58">
        <f>SP32!C60</f>
        <v>58</v>
      </c>
      <c r="C58" t="e">
        <f>IF((SP32!D60)="Freilos",0,VLOOKUP(SP32!D60,'BA-Teilnehmer'!$G$6:$J$37,4,FALSE))</f>
        <v>#N/A</v>
      </c>
      <c r="D58" t="e">
        <f>IF((SP32!E60)="Freilos",0,VLOOKUP(SP32!E60,'BA-Teilnehmer'!$G$6:$J$37,4,FALSE))</f>
        <v>#N/A</v>
      </c>
      <c r="E58">
        <f>SP32!F60</f>
        <v>75</v>
      </c>
      <c r="F58">
        <f>SP32!G60</f>
        <v>2</v>
      </c>
      <c r="G58">
        <f>SP32!H60</f>
        <v>4</v>
      </c>
      <c r="H58">
        <f>SP32!I60</f>
        <v>3</v>
      </c>
      <c r="I58">
        <f>SP32!J60</f>
        <v>37</v>
      </c>
      <c r="J58">
        <f>SP32!K60</f>
        <v>2</v>
      </c>
      <c r="K58">
        <f>SP32!L60</f>
        <v>19</v>
      </c>
      <c r="L58" s="258">
        <f>SP32!AR60</f>
        <v>0</v>
      </c>
      <c r="M58" s="258">
        <f>SP32!AS60</f>
        <v>0</v>
      </c>
    </row>
    <row r="59" spans="1:13" ht="12.75">
      <c r="A59" t="str">
        <f>SP32!B62</f>
        <v>Finale</v>
      </c>
      <c r="B59">
        <f>SP32!C62</f>
        <v>59</v>
      </c>
      <c r="C59" t="e">
        <f>IF((SP32!D62)="Freilos",0,VLOOKUP(SP32!D62,'BA-Teilnehmer'!$G$6:$J$37,4,FALSE))</f>
        <v>#N/A</v>
      </c>
      <c r="D59" t="e">
        <f>IF((SP32!E62)="Freilos",0,VLOOKUP(SP32!E62,'BA-Teilnehmer'!$G$6:$J$37,4,FALSE))</f>
        <v>#N/A</v>
      </c>
      <c r="E59">
        <f>SP32!F62</f>
        <v>70</v>
      </c>
      <c r="F59">
        <f>SP32!G62</f>
        <v>75</v>
      </c>
      <c r="G59">
        <f>SP32!H62</f>
        <v>9</v>
      </c>
      <c r="H59">
        <f>SP32!I62</f>
        <v>10</v>
      </c>
      <c r="I59">
        <f>SP32!J62</f>
        <v>24</v>
      </c>
      <c r="J59">
        <f>SP32!K62</f>
        <v>25</v>
      </c>
      <c r="K59">
        <f>SP32!L62</f>
        <v>19</v>
      </c>
      <c r="L59" s="258">
        <f>SP32!AR62</f>
        <v>0</v>
      </c>
      <c r="M59" s="258">
        <f>SP32!AS62</f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6"/>
  <dimension ref="B2:G18"/>
  <sheetViews>
    <sheetView showGridLines="0" showRowColHeaders="0" showZeros="0" showOutlineSymbols="0" zoomScalePageLayoutView="0" workbookViewId="0" topLeftCell="A1">
      <selection activeCell="E1" sqref="E1"/>
    </sheetView>
  </sheetViews>
  <sheetFormatPr defaultColWidth="11.421875" defaultRowHeight="12.75"/>
  <cols>
    <col min="1" max="1" width="11.421875" style="39" customWidth="1"/>
    <col min="2" max="2" width="13.00390625" style="39" bestFit="1" customWidth="1"/>
    <col min="3" max="3" width="20.00390625" style="39" bestFit="1" customWidth="1"/>
    <col min="4" max="4" width="23.421875" style="39" bestFit="1" customWidth="1"/>
    <col min="5" max="5" width="15.57421875" style="39" bestFit="1" customWidth="1"/>
    <col min="6" max="6" width="16.00390625" style="32" bestFit="1" customWidth="1"/>
    <col min="7" max="7" width="11.57421875" style="39" hidden="1" customWidth="1"/>
    <col min="8" max="16384" width="11.421875" style="39" customWidth="1"/>
  </cols>
  <sheetData>
    <row r="1" ht="15.75" thickBot="1"/>
    <row r="2" spans="2:4" ht="15">
      <c r="B2" s="40" t="s">
        <v>84</v>
      </c>
      <c r="C2" s="41">
        <f>Auslosung_Turnierdaten!G47</f>
        <v>0</v>
      </c>
      <c r="D2" s="46"/>
    </row>
    <row r="3" spans="2:4" ht="15">
      <c r="B3" s="42" t="s">
        <v>82</v>
      </c>
      <c r="C3" s="43">
        <f>Auslosung_Turnierdaten!G48</f>
        <v>0</v>
      </c>
      <c r="D3" s="47"/>
    </row>
    <row r="4" spans="2:4" ht="15.75" thickBot="1">
      <c r="B4" s="44" t="s">
        <v>83</v>
      </c>
      <c r="C4" s="45">
        <f>C2*C3</f>
        <v>0</v>
      </c>
      <c r="D4" s="46"/>
    </row>
    <row r="6" ht="15.75" thickBot="1"/>
    <row r="7" spans="2:6" ht="15.75">
      <c r="B7" s="49" t="s">
        <v>80</v>
      </c>
      <c r="C7" s="50" t="s">
        <v>26</v>
      </c>
      <c r="D7" s="50" t="s">
        <v>3</v>
      </c>
      <c r="E7" s="50" t="s">
        <v>81</v>
      </c>
      <c r="F7" s="51" t="s">
        <v>85</v>
      </c>
    </row>
    <row r="8" spans="2:7" ht="15">
      <c r="B8" s="42" t="s">
        <v>74</v>
      </c>
      <c r="C8" s="48" t="str">
        <f>Tabelle!D3</f>
        <v>Heimmerer, Benjamin [34073]</v>
      </c>
      <c r="D8" s="48" t="str">
        <f>Tabelle!E3</f>
        <v>PBC München-West</v>
      </c>
      <c r="E8" s="57">
        <v>0.3333333333333333</v>
      </c>
      <c r="F8" s="62">
        <f>IF(G16&gt;C4,G8-1,G8)</f>
        <v>0</v>
      </c>
      <c r="G8" s="55">
        <f aca="true" t="shared" si="0" ref="G8:G15">ROUND(($C$4*E8),0)</f>
        <v>0</v>
      </c>
    </row>
    <row r="9" spans="2:7" ht="15">
      <c r="B9" s="42" t="s">
        <v>75</v>
      </c>
      <c r="C9" s="48" t="str">
        <f>Tabelle!D4</f>
        <v>Kuloyants, Valery [34790]</v>
      </c>
      <c r="D9" s="48" t="str">
        <f>Tabelle!E4</f>
        <v>PBC München-West</v>
      </c>
      <c r="E9" s="57">
        <v>0.22916666666666666</v>
      </c>
      <c r="F9" s="62">
        <f>ROUND(($C$4*E9),0)</f>
        <v>0</v>
      </c>
      <c r="G9" s="55">
        <f t="shared" si="0"/>
        <v>0</v>
      </c>
    </row>
    <row r="10" spans="2:7" ht="15">
      <c r="B10" s="42" t="s">
        <v>76</v>
      </c>
      <c r="C10" s="48" t="str">
        <f>Tabelle!D5</f>
        <v>Gruber, Stefan [30145]</v>
      </c>
      <c r="D10" s="48" t="str">
        <f>Tabelle!E5</f>
        <v>PBC Augsburg</v>
      </c>
      <c r="E10" s="57">
        <v>0.14583333333333334</v>
      </c>
      <c r="F10" s="62">
        <f aca="true" t="shared" si="1" ref="F10:F15">ROUND(($C$4*E10),0)</f>
        <v>0</v>
      </c>
      <c r="G10" s="55">
        <f t="shared" si="0"/>
        <v>0</v>
      </c>
    </row>
    <row r="11" spans="2:7" ht="15">
      <c r="B11" s="42" t="s">
        <v>77</v>
      </c>
      <c r="C11" s="48" t="str">
        <f>Tabelle!D6</f>
        <v>Au-Yeung, Michael [24627]</v>
      </c>
      <c r="D11" s="48" t="str">
        <f>Tabelle!E6</f>
        <v>PBC München-West</v>
      </c>
      <c r="E11" s="57">
        <v>0.10416666666666667</v>
      </c>
      <c r="F11" s="62">
        <f t="shared" si="1"/>
        <v>0</v>
      </c>
      <c r="G11" s="55">
        <f t="shared" si="0"/>
        <v>0</v>
      </c>
    </row>
    <row r="12" spans="2:7" ht="15">
      <c r="B12" s="42" t="s">
        <v>78</v>
      </c>
      <c r="C12" s="48" t="str">
        <f>Tabelle!D7</f>
        <v>Hirschbichler, Robert [22548]</v>
      </c>
      <c r="D12" s="48" t="str">
        <f>Tabelle!E7</f>
        <v>PBSC Donauwörth</v>
      </c>
      <c r="E12" s="57">
        <v>0.0625</v>
      </c>
      <c r="F12" s="62">
        <f t="shared" si="1"/>
        <v>0</v>
      </c>
      <c r="G12" s="55">
        <f t="shared" si="0"/>
        <v>0</v>
      </c>
    </row>
    <row r="13" spans="2:7" ht="15">
      <c r="B13" s="42" t="s">
        <v>79</v>
      </c>
      <c r="C13" s="48" t="str">
        <f>Tabelle!D8</f>
        <v>Obermeier, Andreas [29213]</v>
      </c>
      <c r="D13" s="48" t="str">
        <f>Tabelle!E8</f>
        <v>BSV PB München</v>
      </c>
      <c r="E13" s="57">
        <v>0.0625</v>
      </c>
      <c r="F13" s="62">
        <f t="shared" si="1"/>
        <v>0</v>
      </c>
      <c r="G13" s="55">
        <f t="shared" si="0"/>
        <v>0</v>
      </c>
    </row>
    <row r="14" spans="2:7" ht="15">
      <c r="B14" s="42" t="s">
        <v>87</v>
      </c>
      <c r="C14" s="48" t="str">
        <f>Tabelle!D9</f>
        <v>Scholz, Jürgen [35124]</v>
      </c>
      <c r="D14" s="48"/>
      <c r="E14" s="57">
        <v>0.03125</v>
      </c>
      <c r="F14" s="62">
        <f t="shared" si="1"/>
        <v>0</v>
      </c>
      <c r="G14" s="55">
        <f t="shared" si="0"/>
        <v>0</v>
      </c>
    </row>
    <row r="15" spans="2:7" ht="15.75" thickBot="1">
      <c r="B15" s="44" t="s">
        <v>88</v>
      </c>
      <c r="C15" s="52" t="str">
        <f>Tabelle!D10</f>
        <v>Becherer, Thomas [25734]</v>
      </c>
      <c r="D15" s="52"/>
      <c r="E15" s="63">
        <v>0.03125</v>
      </c>
      <c r="F15" s="64">
        <f t="shared" si="1"/>
        <v>0</v>
      </c>
      <c r="G15" s="55">
        <f t="shared" si="0"/>
        <v>0</v>
      </c>
    </row>
    <row r="16" spans="2:7" ht="15.75" thickBot="1">
      <c r="B16" s="47"/>
      <c r="C16" s="47"/>
      <c r="D16" s="47"/>
      <c r="E16" s="60">
        <v>1</v>
      </c>
      <c r="F16" s="61">
        <f>SUM(F8:F15)</f>
        <v>0</v>
      </c>
      <c r="G16" s="56">
        <f>SUM(G8:G15)</f>
        <v>0</v>
      </c>
    </row>
    <row r="17" ht="15">
      <c r="E17" s="59"/>
    </row>
    <row r="18" ht="15">
      <c r="E18" s="58" t="s">
        <v>86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Suchan Kurt</dc:creator>
  <cp:keywords/>
  <dc:description/>
  <cp:lastModifiedBy>Kurt Suchan</cp:lastModifiedBy>
  <cp:lastPrinted>2009-09-18T20:36:40Z</cp:lastPrinted>
  <dcterms:created xsi:type="dcterms:W3CDTF">2001-09-23T08:53:31Z</dcterms:created>
  <dcterms:modified xsi:type="dcterms:W3CDTF">2009-10-15T10:29:14Z</dcterms:modified>
  <cp:category/>
  <cp:version/>
  <cp:contentType/>
  <cp:contentStatus/>
</cp:coreProperties>
</file>