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120" yWindow="65476" windowWidth="9285" windowHeight="9120" tabRatio="974" activeTab="2"/>
  </bookViews>
  <sheets>
    <sheet name="Spielereingabe" sheetId="1" r:id="rId1"/>
    <sheet name="Auslosung_Turnierdaten" sheetId="2" r:id="rId2"/>
    <sheet name="SP16" sheetId="3" r:id="rId3"/>
    <sheet name="Baum16" sheetId="4" r:id="rId4"/>
    <sheet name="Paarung drucken" sheetId="5" r:id="rId5"/>
    <sheet name="herren" sheetId="6" state="hidden" r:id="rId6"/>
    <sheet name="Tabelle" sheetId="7" r:id="rId7"/>
    <sheet name="Mitglieder" sheetId="8" state="hidden" r:id="rId8"/>
    <sheet name="Urkunde" sheetId="9" r:id="rId9"/>
    <sheet name="BA Export" sheetId="10" r:id="rId10"/>
  </sheets>
  <externalReferences>
    <externalReference r:id="rId13"/>
    <externalReference r:id="rId14"/>
  </externalReferences>
  <definedNames>
    <definedName name="_xlnm.Print_Area" localSheetId="4">'Paarung drucken'!$B$2:$H$14</definedName>
    <definedName name="_xlnm.Print_Area" localSheetId="2">'SP16'!$B$1:$L$30</definedName>
    <definedName name="_xlnm.Print_Area" localSheetId="6">'Tabelle'!$A$5:$P$23</definedName>
    <definedName name="_xlnm.Print_Area" localSheetId="8">'Urkunde'!$A$1:$A$21</definedName>
    <definedName name="Mitglieder">'Mitglieder'!$B:$F</definedName>
    <definedName name="SP16">'SP16'!$C$3:$K$33</definedName>
    <definedName name="SP16_2">'SP16'!$C$3:$L$33</definedName>
    <definedName name="sp32" localSheetId="7">'[2]SP32'!$C$2:$L$65</definedName>
    <definedName name="sp32">'[1]SP32'!$C$2:$L$65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M8" authorId="0">
      <text>
        <r>
          <rPr>
            <b/>
            <sz val="8"/>
            <rFont val="Tahoma"/>
            <family val="0"/>
          </rPr>
          <t>Tischnummern bzw. -bezeichnungen in Tabelle eintragen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Vereinsnummer siehe BBV-Jahrbuch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Mitgliedsnummer in BBV-Jahrbuch neben Ranglistennummer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AQ2" authorId="0">
      <text>
        <r>
          <rPr>
            <b/>
            <sz val="8"/>
            <rFont val="Tahoma"/>
            <family val="0"/>
          </rPr>
          <t>Partie-Beginn mit Tastenkombination: [Strg][Shift][:] eingeben</t>
        </r>
      </text>
    </comment>
    <comment ref="AR2" authorId="0">
      <text>
        <r>
          <rPr>
            <b/>
            <sz val="8"/>
            <rFont val="Tahoma"/>
            <family val="0"/>
          </rPr>
          <t>Partie-Ende mit Tastenkombination: [Strg][Shift][:] eingeben</t>
        </r>
      </text>
    </comment>
  </commentList>
</comments>
</file>

<file path=xl/sharedStrings.xml><?xml version="1.0" encoding="utf-8"?>
<sst xmlns="http://schemas.openxmlformats.org/spreadsheetml/2006/main" count="522" uniqueCount="222">
  <si>
    <t>Bedienungsanleitung des Spielplans:</t>
  </si>
  <si>
    <t>Bei Meisterschaften BBV, Verein, Vereinsnummer und laufende NR des Teilnehmers eingeben</t>
  </si>
  <si>
    <t>Tabelle siehe Tabelle</t>
  </si>
  <si>
    <t>Name, Vorname</t>
  </si>
  <si>
    <t>Verein</t>
  </si>
  <si>
    <t>Vereinsnr.</t>
  </si>
  <si>
    <t>lauf. Nr.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</si>
  <si>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</si>
  <si>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</si>
  <si>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</si>
  <si>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</si>
  <si>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</si>
  <si>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</si>
  <si>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</si>
  <si>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</si>
  <si>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</si>
  <si>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</si>
  <si>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</si>
  <si>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</si>
  <si>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</si>
  <si>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</si>
  <si>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</si>
  <si>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</si>
  <si>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</si>
  <si>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</si>
  <si>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</si>
  <si>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</si>
  <si>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</si>
  <si>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</si>
  <si>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</si>
  <si>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</si>
  <si>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</si>
  <si>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</si>
  <si>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</si>
  <si>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</si>
  <si>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</si>
  <si>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</si>
  <si>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</si>
  <si>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</si>
  <si>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</si>
  <si>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</si>
  <si>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</si>
  <si>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</si>
  <si>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</si>
  <si>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VR4</t>
  </si>
  <si>
    <t>VR6</t>
  </si>
  <si>
    <t>Tisch</t>
  </si>
  <si>
    <t>ausgeschieden:</t>
  </si>
  <si>
    <t>Eingabe Ergebnisse in SP16</t>
  </si>
  <si>
    <t>Turnierbezeichnung:</t>
  </si>
  <si>
    <t>Termin:</t>
  </si>
  <si>
    <t>Ausrichtender Verein:</t>
  </si>
  <si>
    <t>Turnierleitung:</t>
  </si>
  <si>
    <t>Bsp: BM P2 8B Herren</t>
  </si>
  <si>
    <t>Turnierort:</t>
  </si>
  <si>
    <t>Verlierer nach 19</t>
  </si>
  <si>
    <t>Verlierer nach 20</t>
  </si>
  <si>
    <t>Verlierer nach 17</t>
  </si>
  <si>
    <t>Verlierer nach 18</t>
  </si>
  <si>
    <t>Spiel 3 links</t>
  </si>
  <si>
    <t>Spiel 7 links</t>
  </si>
  <si>
    <t>Spiel 2 links</t>
  </si>
  <si>
    <t>Spiel 6 links</t>
  </si>
  <si>
    <t>Spiel 4 links</t>
  </si>
  <si>
    <t>Spiel 8 links</t>
  </si>
  <si>
    <t>Spiel 1 rechts</t>
  </si>
  <si>
    <t>Spiel 5 rechts</t>
  </si>
  <si>
    <t>Spiel 3 rechts</t>
  </si>
  <si>
    <t>Spiel 7 rechts</t>
  </si>
  <si>
    <t>Spiel 2 rechts</t>
  </si>
  <si>
    <t>Spiel 6 rechts</t>
  </si>
  <si>
    <t>Spiel 4 rechts</t>
  </si>
  <si>
    <t>Spiel 8 rechts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</si>
  <si>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</si>
  <si>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</si>
  <si>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</si>
  <si>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</si>
  <si>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</si>
  <si>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</si>
  <si>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</si>
  <si>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für Druckoption der Lauf-</t>
  </si>
  <si>
    <t>zettel in Leiste rechts</t>
  </si>
  <si>
    <t>Partienummer drücken</t>
  </si>
  <si>
    <t>Spiel 1 links</t>
  </si>
  <si>
    <t>Spiel 5 links</t>
  </si>
  <si>
    <t>V=Pl. 9-12</t>
  </si>
  <si>
    <t>V=Pl. 13-16</t>
  </si>
  <si>
    <t>Tischdefinition</t>
  </si>
  <si>
    <t>gesetzt</t>
  </si>
  <si>
    <t>Auslosung wird entsprechend des Makros mit/ohne gesetzte Spieler ausgeführt und Spielplan mit Freilosen aufgefüllt</t>
  </si>
  <si>
    <t>Sp1</t>
  </si>
  <si>
    <t>Tische müssen in Tischdefinition für Funktion</t>
  </si>
  <si>
    <t>"Freie Tische" in Blatt "SP*" bezeichnet werden</t>
  </si>
  <si>
    <t>Beginn:</t>
  </si>
  <si>
    <t>Tischanzahl:</t>
  </si>
  <si>
    <t>? Zeit pro Partie</t>
  </si>
  <si>
    <t>VR1/GR1</t>
  </si>
  <si>
    <t>GR2/VR3</t>
  </si>
  <si>
    <t>GR3/VR5</t>
  </si>
  <si>
    <t>E1</t>
  </si>
  <si>
    <t>E2</t>
  </si>
  <si>
    <t>Turnierende ?:</t>
  </si>
  <si>
    <t>P-Ende</t>
  </si>
  <si>
    <t>P-Beginn</t>
  </si>
  <si>
    <t>Dauer</t>
  </si>
  <si>
    <t>Spiele gesamt max</t>
  </si>
  <si>
    <t>BED-Hilfsberechnung</t>
  </si>
  <si>
    <t xml:space="preserve">  Vorsicht doppelte Eingabe</t>
  </si>
  <si>
    <t xml:space="preserve">  Doppelte Tischeingabe !</t>
  </si>
  <si>
    <t>Sieger 17-20</t>
  </si>
  <si>
    <t>1/4Fin</t>
  </si>
  <si>
    <t>1/2Fin</t>
  </si>
  <si>
    <t>Finale</t>
  </si>
  <si>
    <t>Platz3</t>
  </si>
  <si>
    <t>Gewinner nach 21-24</t>
  </si>
  <si>
    <t>Sieger nach 21-24</t>
  </si>
  <si>
    <t>S. von 17-20</t>
  </si>
  <si>
    <t>Spiel um Platz 3</t>
  </si>
  <si>
    <t>1/2 Finale</t>
  </si>
  <si>
    <t>1/4 Finale</t>
  </si>
  <si>
    <t>Hauprtrunde</t>
  </si>
  <si>
    <t>Hans-Jörg Müller</t>
  </si>
  <si>
    <t>Martin Neher</t>
  </si>
  <si>
    <t>Michael Keim</t>
  </si>
  <si>
    <t>Thomas Lorenz</t>
  </si>
  <si>
    <t>Viertelfinale</t>
  </si>
  <si>
    <t>Halbfinale</t>
  </si>
  <si>
    <t>Name Vorname</t>
  </si>
  <si>
    <t>VNR</t>
  </si>
  <si>
    <t>VNAME</t>
  </si>
  <si>
    <t>MG_NR</t>
  </si>
  <si>
    <t>Spieler 9</t>
  </si>
  <si>
    <t>Spieler 5</t>
  </si>
  <si>
    <t>Spieler 13</t>
  </si>
  <si>
    <t>Spieler 3</t>
  </si>
  <si>
    <t>Spieler 11</t>
  </si>
  <si>
    <t>Spieler 7</t>
  </si>
  <si>
    <t>Spieler 15</t>
  </si>
  <si>
    <t>Spieler 10</t>
  </si>
  <si>
    <t>Spieler 6</t>
  </si>
  <si>
    <t>Spieler 14</t>
  </si>
  <si>
    <t>Spieler 4</t>
  </si>
  <si>
    <t>Spieler 12</t>
  </si>
  <si>
    <t>Spieler 8</t>
  </si>
  <si>
    <t>Spieler 16</t>
  </si>
  <si>
    <t>Verlierer 1</t>
  </si>
  <si>
    <t>Verlierer 2</t>
  </si>
  <si>
    <t>Verlierer 3</t>
  </si>
  <si>
    <t>Verlierer 4</t>
  </si>
  <si>
    <t>Verlierer 5</t>
  </si>
  <si>
    <t>Verlierer 6</t>
  </si>
  <si>
    <t>Verlierer 7</t>
  </si>
  <si>
    <t>Verlierer 8</t>
  </si>
  <si>
    <t>Sieger 1</t>
  </si>
  <si>
    <t>Sieger 2</t>
  </si>
  <si>
    <t>Sieger 3</t>
  </si>
  <si>
    <t>Sieger 4</t>
  </si>
  <si>
    <t>Sieger 5</t>
  </si>
  <si>
    <t>Sieger 6</t>
  </si>
  <si>
    <t>Sieger 7</t>
  </si>
  <si>
    <t>Sieger 8</t>
  </si>
  <si>
    <t>Sieger 9</t>
  </si>
  <si>
    <t>Verlierer 16</t>
  </si>
  <si>
    <t>Sieger 10</t>
  </si>
  <si>
    <t>Verlierer 15</t>
  </si>
  <si>
    <t>Sieger 11</t>
  </si>
  <si>
    <t>Verlierer 14</t>
  </si>
  <si>
    <t>Sieger 12</t>
  </si>
  <si>
    <t>Verlierer 13</t>
  </si>
  <si>
    <t>Sieger 13</t>
  </si>
  <si>
    <t>Sieger 14</t>
  </si>
  <si>
    <t>Sieger 15</t>
  </si>
  <si>
    <t>Sieger 16</t>
  </si>
  <si>
    <t>Sieger 21</t>
  </si>
  <si>
    <t>Sieger 22</t>
  </si>
  <si>
    <t>Sieger 23</t>
  </si>
  <si>
    <t>Sieger 24</t>
  </si>
  <si>
    <t>Verlierer 25</t>
  </si>
  <si>
    <t>Verlierer 26</t>
  </si>
  <si>
    <t>Sieger 25</t>
  </si>
  <si>
    <t>Sieger 26</t>
  </si>
  <si>
    <t>7 Gewinnspiele</t>
  </si>
  <si>
    <t xml:space="preserve">Lange, Hendrik [34080] </t>
  </si>
  <si>
    <t xml:space="preserve">Sax, Robert [33257] </t>
  </si>
  <si>
    <t xml:space="preserve">Ucluok, Cem [25266] </t>
  </si>
  <si>
    <t xml:space="preserve">Yaylakci, Oguztürk [20940] </t>
  </si>
  <si>
    <t/>
  </si>
  <si>
    <t>Spieljahr</t>
  </si>
  <si>
    <t>-</t>
  </si>
  <si>
    <t>Manfred Pürner - Präsident</t>
  </si>
  <si>
    <t>1.PBC Memmingen</t>
  </si>
  <si>
    <t>BSC Martinsried</t>
  </si>
  <si>
    <t>Freilos</t>
  </si>
  <si>
    <t>Einloggen - "Spielbetrieb Verband" - "Ergebnisse Turnier" - Meisterschaft auswählen - "Spielergebnisse bearbeiten" -</t>
  </si>
  <si>
    <t>Teilnehmerliste dann kopieren und in markierten Bereich einfügen - wenn notwendig Verein ergänzen</t>
  </si>
  <si>
    <t>Schaltfläche "Spieler in Spielplan übernehmen" anwählen</t>
  </si>
  <si>
    <t>Spielernummer</t>
  </si>
  <si>
    <t>Vorname</t>
  </si>
  <si>
    <t>Nachname</t>
  </si>
  <si>
    <t>Julian</t>
  </si>
  <si>
    <t>Kurz</t>
  </si>
  <si>
    <t>PBSC Donauwörth</t>
  </si>
  <si>
    <t>Christoph</t>
  </si>
  <si>
    <t>Wiedenmann</t>
  </si>
  <si>
    <t>1.PBC Königsbrunn</t>
  </si>
  <si>
    <t>Oliver</t>
  </si>
  <si>
    <t>Luhn</t>
  </si>
  <si>
    <t>BSV Forum</t>
  </si>
  <si>
    <t>Florian</t>
  </si>
  <si>
    <t>Guddat</t>
  </si>
  <si>
    <t>Luis</t>
  </si>
  <si>
    <t>Swidersky</t>
  </si>
  <si>
    <t>Daniel</t>
  </si>
  <si>
    <t>Koslitz</t>
  </si>
  <si>
    <t>1.PBC Kempten</t>
  </si>
  <si>
    <t>Markus</t>
  </si>
  <si>
    <t>Döbler</t>
  </si>
  <si>
    <t>Thomas</t>
  </si>
  <si>
    <t>Engel</t>
  </si>
  <si>
    <t>letzte Änderung 08.10.2009</t>
  </si>
  <si>
    <t>1. Platz</t>
  </si>
  <si>
    <t>Spieler von oben nach unten eingeben oder von Blatt "Spielereingabe" mit Schaltfläche übernehmen - bei Turnierbeginn auf Schaltfläche Auslosung "drücken" -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</si>
</sst>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d/m/yy\ h:mm"/>
    <numFmt numFmtId="182" formatCode="h:mm"/>
    <numFmt numFmtId="183" formatCode="h:mm:ss"/>
    <numFmt numFmtId="184" formatCode="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,##0.00\ [$€-1]"/>
    <numFmt numFmtId="190" formatCode="[$-407]dddd\,\ d\.\ mmmm\ yyyy"/>
    <numFmt numFmtId="191" formatCode="#,##0\ [$€-1]"/>
    <numFmt numFmtId="192" formatCode="#,##0\ &quot;DM&quot;"/>
    <numFmt numFmtId="193" formatCode="_-* #,##0.00\ [$€-1]_-;\-* #,##0.00\ [$€-1]_-;_-* &quot;-&quot;??\ [$€-1]_-"/>
    <numFmt numFmtId="194" formatCode="#,##0\ [$€-1];\-#,##0\ [$€-1]"/>
    <numFmt numFmtId="195" formatCode="#,##0.0\ [$€-1]"/>
    <numFmt numFmtId="196" formatCode="0.0%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h:mm:ss;@"/>
  </numFmts>
  <fonts count="56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Wingdings"/>
      <family val="0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8"/>
      <name val="Arial"/>
      <family val="2"/>
    </font>
    <font>
      <b/>
      <sz val="2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9"/>
      <color indexed="28"/>
      <name val="Verdana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1" applyNumberFormat="0" applyAlignment="0" applyProtection="0"/>
    <xf numFmtId="0" fontId="35" fillId="14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7" borderId="9" applyNumberFormat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18" borderId="10" xfId="0" applyFont="1" applyFill="1" applyBorder="1" applyAlignment="1" applyProtection="1">
      <alignment/>
      <protection hidden="1"/>
    </xf>
    <xf numFmtId="0" fontId="1" fillId="18" borderId="11" xfId="0" applyFont="1" applyFill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1" fontId="0" fillId="7" borderId="18" xfId="0" applyNumberFormat="1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18" borderId="14" xfId="0" applyFont="1" applyFill="1" applyBorder="1" applyAlignment="1" applyProtection="1">
      <alignment/>
      <protection hidden="1"/>
    </xf>
    <xf numFmtId="0" fontId="1" fillId="18" borderId="25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0" fillId="0" borderId="0" xfId="0" applyAlignment="1" applyProtection="1">
      <alignment textRotation="90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19" borderId="16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20" borderId="16" xfId="0" applyFont="1" applyFill="1" applyBorder="1" applyAlignment="1" applyProtection="1">
      <alignment/>
      <protection hidden="1"/>
    </xf>
    <xf numFmtId="0" fontId="12" fillId="20" borderId="26" xfId="0" applyFont="1" applyFill="1" applyBorder="1" applyAlignment="1" applyProtection="1">
      <alignment/>
      <protection hidden="1"/>
    </xf>
    <xf numFmtId="0" fontId="12" fillId="20" borderId="27" xfId="0" applyFont="1" applyFill="1" applyBorder="1" applyAlignment="1" applyProtection="1">
      <alignment/>
      <protection hidden="1"/>
    </xf>
    <xf numFmtId="0" fontId="12" fillId="8" borderId="16" xfId="0" applyFont="1" applyFill="1" applyBorder="1" applyAlignment="1" applyProtection="1">
      <alignment/>
      <protection hidden="1"/>
    </xf>
    <xf numFmtId="0" fontId="12" fillId="20" borderId="28" xfId="0" applyFont="1" applyFill="1" applyBorder="1" applyAlignment="1" applyProtection="1">
      <alignment/>
      <protection hidden="1"/>
    </xf>
    <xf numFmtId="0" fontId="12" fillId="8" borderId="12" xfId="0" applyNumberFormat="1" applyFont="1" applyFill="1" applyBorder="1" applyAlignment="1" applyProtection="1">
      <alignment/>
      <protection hidden="1"/>
    </xf>
    <xf numFmtId="0" fontId="12" fillId="8" borderId="29" xfId="0" applyNumberFormat="1" applyFont="1" applyFill="1" applyBorder="1" applyAlignment="1" applyProtection="1">
      <alignment/>
      <protection hidden="1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21" xfId="0" applyFont="1" applyFill="1" applyBorder="1" applyAlignment="1" applyProtection="1">
      <alignment horizontal="center"/>
      <protection locked="0"/>
    </xf>
    <xf numFmtId="0" fontId="12" fillId="8" borderId="30" xfId="0" applyFont="1" applyFill="1" applyBorder="1" applyAlignment="1" applyProtection="1">
      <alignment horizontal="center"/>
      <protection locked="0"/>
    </xf>
    <xf numFmtId="0" fontId="12" fillId="8" borderId="2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20" borderId="31" xfId="0" applyFont="1" applyFill="1" applyBorder="1" applyAlignment="1" applyProtection="1">
      <alignment/>
      <protection hidden="1"/>
    </xf>
    <xf numFmtId="0" fontId="12" fillId="8" borderId="10" xfId="0" applyNumberFormat="1" applyFont="1" applyFill="1" applyBorder="1" applyAlignment="1" applyProtection="1">
      <alignment/>
      <protection hidden="1"/>
    </xf>
    <xf numFmtId="0" fontId="12" fillId="8" borderId="32" xfId="0" applyNumberFormat="1" applyFont="1" applyFill="1" applyBorder="1" applyAlignment="1" applyProtection="1">
      <alignment/>
      <protection hidden="1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22" xfId="0" applyFont="1" applyFill="1" applyBorder="1" applyAlignment="1" applyProtection="1">
      <alignment horizontal="center"/>
      <protection locked="0"/>
    </xf>
    <xf numFmtId="0" fontId="12" fillId="8" borderId="33" xfId="0" applyFont="1" applyFill="1" applyBorder="1" applyAlignment="1" applyProtection="1">
      <alignment horizontal="center"/>
      <protection locked="0"/>
    </xf>
    <xf numFmtId="0" fontId="12" fillId="8" borderId="32" xfId="0" applyFont="1" applyFill="1" applyBorder="1" applyAlignment="1" applyProtection="1">
      <alignment horizontal="center"/>
      <protection locked="0"/>
    </xf>
    <xf numFmtId="0" fontId="12" fillId="21" borderId="34" xfId="0" applyFont="1" applyFill="1" applyBorder="1" applyAlignment="1" applyProtection="1">
      <alignment horizontal="left"/>
      <protection hidden="1"/>
    </xf>
    <xf numFmtId="0" fontId="12" fillId="21" borderId="35" xfId="0" applyFont="1" applyFill="1" applyBorder="1" applyAlignment="1" applyProtection="1">
      <alignment horizontal="left"/>
      <protection hidden="1"/>
    </xf>
    <xf numFmtId="0" fontId="12" fillId="20" borderId="36" xfId="0" applyFont="1" applyFill="1" applyBorder="1" applyAlignment="1" applyProtection="1">
      <alignment/>
      <protection hidden="1"/>
    </xf>
    <xf numFmtId="0" fontId="12" fillId="8" borderId="11" xfId="0" applyNumberFormat="1" applyFont="1" applyFill="1" applyBorder="1" applyAlignment="1" applyProtection="1">
      <alignment/>
      <protection hidden="1"/>
    </xf>
    <xf numFmtId="0" fontId="12" fillId="8" borderId="37" xfId="0" applyNumberFormat="1" applyFont="1" applyFill="1" applyBorder="1" applyAlignment="1" applyProtection="1">
      <alignment/>
      <protection hidden="1"/>
    </xf>
    <xf numFmtId="0" fontId="12" fillId="8" borderId="38" xfId="0" applyFont="1" applyFill="1" applyBorder="1" applyAlignment="1" applyProtection="1">
      <alignment horizontal="center"/>
      <protection locked="0"/>
    </xf>
    <xf numFmtId="0" fontId="12" fillId="8" borderId="23" xfId="0" applyFont="1" applyFill="1" applyBorder="1" applyAlignment="1" applyProtection="1">
      <alignment horizontal="center"/>
      <protection locked="0"/>
    </xf>
    <xf numFmtId="0" fontId="12" fillId="8" borderId="11" xfId="0" applyFont="1" applyFill="1" applyBorder="1" applyAlignment="1" applyProtection="1">
      <alignment horizontal="center"/>
      <protection locked="0"/>
    </xf>
    <xf numFmtId="0" fontId="12" fillId="8" borderId="37" xfId="0" applyFont="1" applyFill="1" applyBorder="1" applyAlignment="1" applyProtection="1">
      <alignment horizontal="center"/>
      <protection locked="0"/>
    </xf>
    <xf numFmtId="0" fontId="12" fillId="20" borderId="12" xfId="0" applyNumberFormat="1" applyFont="1" applyFill="1" applyBorder="1" applyAlignment="1" applyProtection="1">
      <alignment/>
      <protection hidden="1"/>
    </xf>
    <xf numFmtId="0" fontId="12" fillId="20" borderId="29" xfId="0" applyNumberFormat="1" applyFont="1" applyFill="1" applyBorder="1" applyAlignment="1" applyProtection="1">
      <alignment/>
      <protection hidden="1"/>
    </xf>
    <xf numFmtId="0" fontId="12" fillId="20" borderId="12" xfId="0" applyFont="1" applyFill="1" applyBorder="1" applyAlignment="1" applyProtection="1">
      <alignment horizontal="center"/>
      <protection locked="0"/>
    </xf>
    <xf numFmtId="0" fontId="12" fillId="20" borderId="21" xfId="0" applyFont="1" applyFill="1" applyBorder="1" applyAlignment="1" applyProtection="1">
      <alignment horizontal="center"/>
      <protection locked="0"/>
    </xf>
    <xf numFmtId="0" fontId="12" fillId="20" borderId="30" xfId="0" applyFont="1" applyFill="1" applyBorder="1" applyAlignment="1" applyProtection="1">
      <alignment horizontal="center"/>
      <protection locked="0"/>
    </xf>
    <xf numFmtId="0" fontId="12" fillId="20" borderId="29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hidden="1"/>
    </xf>
    <xf numFmtId="0" fontId="12" fillId="20" borderId="10" xfId="0" applyNumberFormat="1" applyFont="1" applyFill="1" applyBorder="1" applyAlignment="1" applyProtection="1">
      <alignment/>
      <protection hidden="1"/>
    </xf>
    <xf numFmtId="0" fontId="12" fillId="20" borderId="32" xfId="0" applyNumberFormat="1" applyFont="1" applyFill="1" applyBorder="1" applyAlignment="1" applyProtection="1">
      <alignment/>
      <protection hidden="1"/>
    </xf>
    <xf numFmtId="0" fontId="12" fillId="20" borderId="10" xfId="0" applyFont="1" applyFill="1" applyBorder="1" applyAlignment="1" applyProtection="1">
      <alignment horizontal="center"/>
      <protection locked="0"/>
    </xf>
    <xf numFmtId="0" fontId="12" fillId="20" borderId="22" xfId="0" applyFont="1" applyFill="1" applyBorder="1" applyAlignment="1" applyProtection="1">
      <alignment horizontal="center"/>
      <protection locked="0"/>
    </xf>
    <xf numFmtId="0" fontId="12" fillId="20" borderId="33" xfId="0" applyFont="1" applyFill="1" applyBorder="1" applyAlignment="1" applyProtection="1">
      <alignment horizontal="center"/>
      <protection locked="0"/>
    </xf>
    <xf numFmtId="0" fontId="12" fillId="20" borderId="32" xfId="0" applyFont="1" applyFill="1" applyBorder="1" applyAlignment="1" applyProtection="1">
      <alignment horizontal="center"/>
      <protection locked="0"/>
    </xf>
    <xf numFmtId="0" fontId="12" fillId="20" borderId="11" xfId="0" applyNumberFormat="1" applyFont="1" applyFill="1" applyBorder="1" applyAlignment="1" applyProtection="1">
      <alignment/>
      <protection hidden="1"/>
    </xf>
    <xf numFmtId="0" fontId="12" fillId="20" borderId="37" xfId="0" applyNumberFormat="1" applyFont="1" applyFill="1" applyBorder="1" applyAlignment="1" applyProtection="1">
      <alignment/>
      <protection hidden="1"/>
    </xf>
    <xf numFmtId="0" fontId="12" fillId="20" borderId="38" xfId="0" applyFont="1" applyFill="1" applyBorder="1" applyAlignment="1" applyProtection="1">
      <alignment horizontal="center"/>
      <protection locked="0"/>
    </xf>
    <xf numFmtId="0" fontId="12" fillId="20" borderId="23" xfId="0" applyFont="1" applyFill="1" applyBorder="1" applyAlignment="1" applyProtection="1">
      <alignment horizontal="center"/>
      <protection locked="0"/>
    </xf>
    <xf numFmtId="0" fontId="12" fillId="20" borderId="11" xfId="0" applyFont="1" applyFill="1" applyBorder="1" applyAlignment="1" applyProtection="1">
      <alignment horizontal="center"/>
      <protection locked="0"/>
    </xf>
    <xf numFmtId="0" fontId="12" fillId="20" borderId="37" xfId="0" applyFont="1" applyFill="1" applyBorder="1" applyAlignment="1" applyProtection="1">
      <alignment horizontal="center"/>
      <protection locked="0"/>
    </xf>
    <xf numFmtId="0" fontId="12" fillId="7" borderId="32" xfId="0" applyFont="1" applyFill="1" applyBorder="1" applyAlignment="1" applyProtection="1">
      <alignment/>
      <protection hidden="1"/>
    </xf>
    <xf numFmtId="0" fontId="12" fillId="7" borderId="39" xfId="0" applyFont="1" applyFill="1" applyBorder="1" applyAlignment="1" applyProtection="1">
      <alignment/>
      <protection hidden="1"/>
    </xf>
    <xf numFmtId="0" fontId="12" fillId="7" borderId="40" xfId="0" applyFont="1" applyFill="1" applyBorder="1" applyAlignment="1" applyProtection="1">
      <alignment/>
      <protection hidden="1"/>
    </xf>
    <xf numFmtId="1" fontId="12" fillId="7" borderId="40" xfId="0" applyNumberFormat="1" applyFont="1" applyFill="1" applyBorder="1" applyAlignment="1" applyProtection="1">
      <alignment/>
      <protection hidden="1"/>
    </xf>
    <xf numFmtId="0" fontId="12" fillId="7" borderId="41" xfId="0" applyFont="1" applyFill="1" applyBorder="1" applyAlignment="1" applyProtection="1">
      <alignment/>
      <protection hidden="1"/>
    </xf>
    <xf numFmtId="0" fontId="12" fillId="7" borderId="34" xfId="0" applyFont="1" applyFill="1" applyBorder="1" applyAlignment="1" applyProtection="1">
      <alignment/>
      <protection hidden="1"/>
    </xf>
    <xf numFmtId="0" fontId="12" fillId="0" borderId="32" xfId="0" applyFont="1" applyBorder="1" applyAlignment="1" applyProtection="1">
      <alignment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1" fontId="12" fillId="0" borderId="13" xfId="0" applyNumberFormat="1" applyFont="1" applyBorder="1" applyAlignment="1" applyProtection="1">
      <alignment/>
      <protection hidden="1"/>
    </xf>
    <xf numFmtId="2" fontId="12" fillId="0" borderId="13" xfId="0" applyNumberFormat="1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1" fontId="12" fillId="0" borderId="14" xfId="0" applyNumberFormat="1" applyFont="1" applyBorder="1" applyAlignment="1" applyProtection="1">
      <alignment/>
      <protection hidden="1"/>
    </xf>
    <xf numFmtId="2" fontId="12" fillId="0" borderId="14" xfId="0" applyNumberFormat="1" applyFont="1" applyBorder="1" applyAlignment="1" applyProtection="1">
      <alignment/>
      <protection hidden="1"/>
    </xf>
    <xf numFmtId="0" fontId="12" fillId="0" borderId="22" xfId="0" applyFont="1" applyBorder="1" applyAlignment="1" applyProtection="1">
      <alignment/>
      <protection hidden="1"/>
    </xf>
    <xf numFmtId="0" fontId="12" fillId="20" borderId="17" xfId="0" applyFont="1" applyFill="1" applyBorder="1" applyAlignment="1" applyProtection="1">
      <alignment horizontal="center"/>
      <protection locked="0"/>
    </xf>
    <xf numFmtId="0" fontId="12" fillId="20" borderId="19" xfId="0" applyFont="1" applyFill="1" applyBorder="1" applyAlignment="1" applyProtection="1">
      <alignment horizontal="center"/>
      <protection locked="0"/>
    </xf>
    <xf numFmtId="0" fontId="12" fillId="20" borderId="26" xfId="0" applyFont="1" applyFill="1" applyBorder="1" applyAlignment="1" applyProtection="1">
      <alignment horizontal="center"/>
      <protection locked="0"/>
    </xf>
    <xf numFmtId="0" fontId="12" fillId="20" borderId="27" xfId="0" applyFont="1" applyFill="1" applyBorder="1" applyAlignment="1" applyProtection="1">
      <alignment horizontal="center"/>
      <protection locked="0"/>
    </xf>
    <xf numFmtId="0" fontId="12" fillId="8" borderId="26" xfId="0" applyNumberFormat="1" applyFont="1" applyFill="1" applyBorder="1" applyAlignment="1" applyProtection="1">
      <alignment/>
      <protection hidden="1"/>
    </xf>
    <xf numFmtId="0" fontId="12" fillId="8" borderId="27" xfId="0" applyNumberFormat="1" applyFont="1" applyFill="1" applyBorder="1" applyAlignment="1" applyProtection="1">
      <alignment/>
      <protection hidden="1"/>
    </xf>
    <xf numFmtId="0" fontId="12" fillId="8" borderId="17" xfId="0" applyFont="1" applyFill="1" applyBorder="1" applyAlignment="1" applyProtection="1">
      <alignment horizontal="center"/>
      <protection locked="0"/>
    </xf>
    <xf numFmtId="0" fontId="12" fillId="8" borderId="19" xfId="0" applyFont="1" applyFill="1" applyBorder="1" applyAlignment="1" applyProtection="1">
      <alignment horizontal="center"/>
      <protection locked="0"/>
    </xf>
    <xf numFmtId="0" fontId="12" fillId="8" borderId="2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0" fontId="12" fillId="0" borderId="15" xfId="0" applyFont="1" applyBorder="1" applyAlignment="1" applyProtection="1">
      <alignment/>
      <protection hidden="1"/>
    </xf>
    <xf numFmtId="1" fontId="12" fillId="0" borderId="15" xfId="0" applyNumberFormat="1" applyFont="1" applyBorder="1" applyAlignment="1" applyProtection="1">
      <alignment/>
      <protection hidden="1"/>
    </xf>
    <xf numFmtId="2" fontId="12" fillId="0" borderId="15" xfId="0" applyNumberFormat="1" applyFont="1" applyBorder="1" applyAlignment="1" applyProtection="1">
      <alignment/>
      <protection hidden="1"/>
    </xf>
    <xf numFmtId="0" fontId="12" fillId="0" borderId="23" xfId="0" applyFont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20" borderId="39" xfId="0" applyFont="1" applyFill="1" applyBorder="1" applyAlignment="1" applyProtection="1">
      <alignment horizontal="center"/>
      <protection hidden="1"/>
    </xf>
    <xf numFmtId="0" fontId="12" fillId="20" borderId="42" xfId="0" applyFont="1" applyFill="1" applyBorder="1" applyAlignment="1" applyProtection="1">
      <alignment horizontal="center"/>
      <protection hidden="1"/>
    </xf>
    <xf numFmtId="0" fontId="12" fillId="20" borderId="18" xfId="0" applyFont="1" applyFill="1" applyBorder="1" applyAlignment="1" applyProtection="1">
      <alignment horizontal="center"/>
      <protection hidden="1"/>
    </xf>
    <xf numFmtId="0" fontId="12" fillId="20" borderId="19" xfId="0" applyFont="1" applyFill="1" applyBorder="1" applyAlignment="1" applyProtection="1">
      <alignment horizontal="center"/>
      <protection hidden="1"/>
    </xf>
    <xf numFmtId="0" fontId="12" fillId="21" borderId="43" xfId="0" applyFont="1" applyFill="1" applyBorder="1" applyAlignment="1" applyProtection="1">
      <alignment/>
      <protection hidden="1"/>
    </xf>
    <xf numFmtId="0" fontId="12" fillId="14" borderId="0" xfId="0" applyFont="1" applyFill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2" fillId="21" borderId="44" xfId="0" applyFont="1" applyFill="1" applyBorder="1" applyAlignment="1" applyProtection="1">
      <alignment/>
      <protection hidden="1"/>
    </xf>
    <xf numFmtId="0" fontId="12" fillId="21" borderId="45" xfId="0" applyFont="1" applyFill="1" applyBorder="1" applyAlignment="1" applyProtection="1">
      <alignment horizontal="left"/>
      <protection hidden="1"/>
    </xf>
    <xf numFmtId="0" fontId="13" fillId="21" borderId="44" xfId="0" applyFont="1" applyFill="1" applyBorder="1" applyAlignment="1" applyProtection="1">
      <alignment horizontal="left"/>
      <protection hidden="1"/>
    </xf>
    <xf numFmtId="0" fontId="12" fillId="21" borderId="46" xfId="0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 locked="0"/>
    </xf>
    <xf numFmtId="0" fontId="1" fillId="18" borderId="14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4" fillId="21" borderId="16" xfId="0" applyFont="1" applyFill="1" applyBorder="1" applyAlignment="1" applyProtection="1">
      <alignment horizontal="left"/>
      <protection hidden="1"/>
    </xf>
    <xf numFmtId="0" fontId="0" fillId="15" borderId="16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15" borderId="20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6" borderId="47" xfId="0" applyFill="1" applyBorder="1" applyAlignment="1" applyProtection="1">
      <alignment horizontal="center"/>
      <protection hidden="1"/>
    </xf>
    <xf numFmtId="0" fontId="1" fillId="14" borderId="14" xfId="0" applyFont="1" applyFill="1" applyBorder="1" applyAlignment="1" applyProtection="1">
      <alignment horizontal="center"/>
      <protection hidden="1" locked="0"/>
    </xf>
    <xf numFmtId="0" fontId="1" fillId="18" borderId="48" xfId="0" applyFont="1" applyFill="1" applyBorder="1" applyAlignment="1" applyProtection="1">
      <alignment/>
      <protection hidden="1"/>
    </xf>
    <xf numFmtId="0" fontId="1" fillId="18" borderId="33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center"/>
      <protection hidden="1"/>
    </xf>
    <xf numFmtId="49" fontId="7" fillId="0" borderId="14" xfId="0" applyNumberFormat="1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22" fontId="0" fillId="0" borderId="0" xfId="0" applyNumberFormat="1" applyAlignment="1" applyProtection="1">
      <alignment horizontal="center"/>
      <protection hidden="1"/>
    </xf>
    <xf numFmtId="182" fontId="12" fillId="0" borderId="0" xfId="0" applyNumberFormat="1" applyFont="1" applyAlignment="1" applyProtection="1">
      <alignment horizontal="center"/>
      <protection hidden="1"/>
    </xf>
    <xf numFmtId="1" fontId="12" fillId="0" borderId="0" xfId="0" applyNumberFormat="1" applyFont="1" applyAlignment="1" applyProtection="1">
      <alignment horizontal="center"/>
      <protection hidden="1"/>
    </xf>
    <xf numFmtId="1" fontId="12" fillId="22" borderId="28" xfId="0" applyNumberFormat="1" applyFont="1" applyFill="1" applyBorder="1" applyAlignment="1" applyProtection="1">
      <alignment horizontal="center"/>
      <protection locked="0"/>
    </xf>
    <xf numFmtId="1" fontId="12" fillId="22" borderId="31" xfId="0" applyNumberFormat="1" applyFont="1" applyFill="1" applyBorder="1" applyAlignment="1" applyProtection="1">
      <alignment horizontal="center"/>
      <protection locked="0"/>
    </xf>
    <xf numFmtId="1" fontId="12" fillId="22" borderId="36" xfId="0" applyNumberFormat="1" applyFont="1" applyFill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  <protection hidden="1"/>
    </xf>
    <xf numFmtId="183" fontId="12" fillId="0" borderId="0" xfId="0" applyNumberFormat="1" applyFont="1" applyAlignment="1" applyProtection="1">
      <alignment/>
      <protection hidden="1"/>
    </xf>
    <xf numFmtId="183" fontId="12" fillId="18" borderId="14" xfId="0" applyNumberFormat="1" applyFont="1" applyFill="1" applyBorder="1" applyAlignment="1" applyProtection="1">
      <alignment horizontal="center"/>
      <protection hidden="1"/>
    </xf>
    <xf numFmtId="183" fontId="18" fillId="15" borderId="14" xfId="0" applyNumberFormat="1" applyFont="1" applyFill="1" applyBorder="1" applyAlignment="1" applyProtection="1">
      <alignment horizontal="center"/>
      <protection hidden="1" locked="0"/>
    </xf>
    <xf numFmtId="183" fontId="18" fillId="19" borderId="14" xfId="0" applyNumberFormat="1" applyFont="1" applyFill="1" applyBorder="1" applyAlignment="1" applyProtection="1">
      <alignment horizontal="center"/>
      <protection hidden="1" locked="0"/>
    </xf>
    <xf numFmtId="183" fontId="18" fillId="7" borderId="14" xfId="0" applyNumberFormat="1" applyFont="1" applyFill="1" applyBorder="1" applyAlignment="1" applyProtection="1">
      <alignment horizontal="center"/>
      <protection hidden="1"/>
    </xf>
    <xf numFmtId="183" fontId="7" fillId="0" borderId="14" xfId="0" applyNumberFormat="1" applyFont="1" applyBorder="1" applyAlignment="1" applyProtection="1">
      <alignment horizontal="center"/>
      <protection hidden="1"/>
    </xf>
    <xf numFmtId="46" fontId="7" fillId="0" borderId="14" xfId="0" applyNumberFormat="1" applyFont="1" applyBorder="1" applyAlignment="1" applyProtection="1">
      <alignment horizontal="center"/>
      <protection hidden="1"/>
    </xf>
    <xf numFmtId="183" fontId="7" fillId="0" borderId="14" xfId="0" applyNumberFormat="1" applyFont="1" applyBorder="1" applyAlignment="1" applyProtection="1">
      <alignment horizontal="center"/>
      <protection hidden="1" locked="0"/>
    </xf>
    <xf numFmtId="49" fontId="1" fillId="0" borderId="14" xfId="0" applyNumberFormat="1" applyFont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21" fontId="12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1" fontId="12" fillId="2" borderId="16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" fontId="22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7" borderId="28" xfId="0" applyFill="1" applyBorder="1" applyAlignment="1" applyProtection="1">
      <alignment/>
      <protection locked="0"/>
    </xf>
    <xf numFmtId="0" fontId="0" fillId="7" borderId="31" xfId="0" applyFill="1" applyBorder="1" applyAlignment="1" applyProtection="1">
      <alignment/>
      <protection locked="0"/>
    </xf>
    <xf numFmtId="0" fontId="0" fillId="7" borderId="36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49" fontId="1" fillId="0" borderId="25" xfId="0" applyNumberFormat="1" applyFont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/>
      <protection hidden="1" locked="0"/>
    </xf>
    <xf numFmtId="1" fontId="22" fillId="0" borderId="0" xfId="0" applyNumberFormat="1" applyFont="1" applyFill="1" applyBorder="1" applyAlignment="1" applyProtection="1">
      <alignment horizontal="right"/>
      <protection hidden="1" locked="0"/>
    </xf>
    <xf numFmtId="0" fontId="12" fillId="8" borderId="29" xfId="0" applyNumberFormat="1" applyFont="1" applyFill="1" applyBorder="1" applyAlignment="1" applyProtection="1">
      <alignment/>
      <protection locked="0"/>
    </xf>
    <xf numFmtId="0" fontId="12" fillId="8" borderId="32" xfId="0" applyNumberFormat="1" applyFont="1" applyFill="1" applyBorder="1" applyAlignment="1" applyProtection="1">
      <alignment/>
      <protection locked="0"/>
    </xf>
    <xf numFmtId="0" fontId="12" fillId="8" borderId="37" xfId="0" applyNumberFormat="1" applyFont="1" applyFill="1" applyBorder="1" applyAlignment="1" applyProtection="1">
      <alignment/>
      <protection locked="0"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23" fillId="14" borderId="0" xfId="0" applyNumberFormat="1" applyFont="1" applyFill="1" applyAlignment="1">
      <alignment horizontal="center"/>
    </xf>
    <xf numFmtId="0" fontId="23" fillId="14" borderId="0" xfId="0" applyFont="1" applyFill="1" applyAlignment="1">
      <alignment horizontal="center" vertical="top"/>
    </xf>
    <xf numFmtId="0" fontId="0" fillId="0" borderId="14" xfId="0" applyBorder="1" applyAlignment="1">
      <alignment/>
    </xf>
    <xf numFmtId="0" fontId="24" fillId="6" borderId="14" xfId="53" applyFont="1" applyFill="1" applyBorder="1" applyAlignment="1">
      <alignment horizontal="center"/>
      <protection/>
    </xf>
    <xf numFmtId="0" fontId="24" fillId="0" borderId="14" xfId="53" applyFont="1" applyFill="1" applyBorder="1" applyAlignment="1">
      <alignment horizontal="left" wrapText="1"/>
      <protection/>
    </xf>
    <xf numFmtId="0" fontId="0" fillId="6" borderId="0" xfId="0" applyFill="1" applyAlignment="1">
      <alignment/>
    </xf>
    <xf numFmtId="0" fontId="24" fillId="0" borderId="14" xfId="53" applyFont="1" applyFill="1" applyBorder="1" applyAlignment="1">
      <alignment horizontal="right" wrapText="1"/>
      <protection/>
    </xf>
    <xf numFmtId="0" fontId="24" fillId="0" borderId="4" xfId="53" applyFont="1" applyFill="1" applyBorder="1" applyAlignment="1">
      <alignment horizontal="left" wrapText="1"/>
      <protection/>
    </xf>
    <xf numFmtId="0" fontId="24" fillId="0" borderId="4" xfId="53" applyFont="1" applyFill="1" applyBorder="1" applyAlignment="1">
      <alignment horizontal="right" wrapText="1"/>
      <protection/>
    </xf>
    <xf numFmtId="0" fontId="24" fillId="0" borderId="14" xfId="53" applyFont="1" applyFill="1" applyBorder="1" applyAlignment="1" quotePrefix="1">
      <alignment horizontal="right" wrapText="1"/>
      <protection/>
    </xf>
    <xf numFmtId="0" fontId="1" fillId="0" borderId="49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49" fontId="1" fillId="14" borderId="14" xfId="0" applyNumberFormat="1" applyFont="1" applyFill="1" applyBorder="1" applyAlignment="1" applyProtection="1">
      <alignment horizontal="left"/>
      <protection hidden="1" locked="0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9" fillId="0" borderId="33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9" fillId="0" borderId="33" xfId="0" applyNumberFormat="1" applyFont="1" applyFill="1" applyBorder="1" applyAlignment="1" applyProtection="1">
      <alignment horizontal="left" vertical="center"/>
      <protection hidden="1"/>
    </xf>
    <xf numFmtId="0" fontId="31" fillId="14" borderId="0" xfId="0" applyFont="1" applyFill="1" applyAlignment="1">
      <alignment horizontal="center" wrapText="1"/>
    </xf>
    <xf numFmtId="0" fontId="31" fillId="14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NumberFormat="1" applyFont="1" applyAlignment="1" applyProtection="1">
      <alignment/>
      <protection hidden="1"/>
    </xf>
    <xf numFmtId="183" fontId="8" fillId="0" borderId="0" xfId="0" applyNumberFormat="1" applyFont="1" applyAlignment="1" applyProtection="1">
      <alignment horizontal="center"/>
      <protection hidden="1"/>
    </xf>
    <xf numFmtId="183" fontId="8" fillId="0" borderId="0" xfId="0" applyNumberFormat="1" applyFont="1" applyAlignment="1" applyProtection="1">
      <alignment/>
      <protection hidden="1"/>
    </xf>
    <xf numFmtId="49" fontId="1" fillId="14" borderId="25" xfId="0" applyNumberFormat="1" applyFont="1" applyFill="1" applyBorder="1" applyAlignment="1" applyProtection="1">
      <alignment horizontal="left"/>
      <protection hidden="1" locked="0"/>
    </xf>
    <xf numFmtId="0" fontId="1" fillId="14" borderId="25" xfId="0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54" fillId="18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50" fillId="0" borderId="0" xfId="0" applyFont="1" applyAlignment="1">
      <alignment horizontal="center" readingOrder="1"/>
    </xf>
    <xf numFmtId="201" fontId="0" fillId="0" borderId="0" xfId="0" applyNumberFormat="1" applyAlignment="1">
      <alignment/>
    </xf>
    <xf numFmtId="22" fontId="21" fillId="0" borderId="50" xfId="0" applyNumberFormat="1" applyFont="1" applyBorder="1" applyAlignment="1" applyProtection="1">
      <alignment horizontal="center" textRotation="90"/>
      <protection hidden="1"/>
    </xf>
    <xf numFmtId="0" fontId="21" fillId="0" borderId="50" xfId="0" applyFont="1" applyBorder="1" applyAlignment="1">
      <alignment horizontal="center" textRotation="90"/>
    </xf>
    <xf numFmtId="0" fontId="7" fillId="15" borderId="51" xfId="0" applyFont="1" applyFill="1" applyBorder="1" applyAlignment="1" applyProtection="1">
      <alignment horizontal="center" textRotation="90"/>
      <protection hidden="1"/>
    </xf>
    <xf numFmtId="0" fontId="7" fillId="15" borderId="52" xfId="0" applyFont="1" applyFill="1" applyBorder="1" applyAlignment="1" applyProtection="1">
      <alignment horizontal="center" textRotation="90"/>
      <protection hidden="1"/>
    </xf>
    <xf numFmtId="0" fontId="7" fillId="15" borderId="25" xfId="0" applyFont="1" applyFill="1" applyBorder="1" applyAlignment="1" applyProtection="1">
      <alignment horizontal="center" textRotation="90"/>
      <protection hidden="1"/>
    </xf>
    <xf numFmtId="0" fontId="1" fillId="0" borderId="53" xfId="0" applyFont="1" applyBorder="1" applyAlignment="1" applyProtection="1">
      <alignment/>
      <protection hidden="1" locked="0"/>
    </xf>
    <xf numFmtId="0" fontId="1" fillId="0" borderId="54" xfId="0" applyFont="1" applyBorder="1" applyAlignment="1" applyProtection="1">
      <alignment/>
      <protection hidden="1" locked="0"/>
    </xf>
    <xf numFmtId="0" fontId="1" fillId="0" borderId="29" xfId="0" applyFont="1" applyBorder="1" applyAlignment="1" applyProtection="1">
      <alignment/>
      <protection hidden="1" locked="0"/>
    </xf>
    <xf numFmtId="0" fontId="1" fillId="0" borderId="55" xfId="0" applyFont="1" applyBorder="1" applyAlignment="1" applyProtection="1">
      <alignment/>
      <protection hidden="1" locked="0"/>
    </xf>
    <xf numFmtId="0" fontId="1" fillId="0" borderId="32" xfId="0" applyFont="1" applyBorder="1" applyAlignment="1" applyProtection="1">
      <alignment/>
      <protection hidden="1" locked="0"/>
    </xf>
    <xf numFmtId="0" fontId="1" fillId="0" borderId="56" xfId="0" applyFont="1" applyBorder="1" applyAlignment="1" applyProtection="1">
      <alignment/>
      <protection hidden="1" locked="0"/>
    </xf>
    <xf numFmtId="14" fontId="1" fillId="0" borderId="32" xfId="0" applyNumberFormat="1" applyFont="1" applyBorder="1" applyAlignment="1" applyProtection="1">
      <alignment horizontal="left"/>
      <protection hidden="1" locked="0"/>
    </xf>
    <xf numFmtId="14" fontId="1" fillId="0" borderId="56" xfId="0" applyNumberFormat="1" applyFont="1" applyBorder="1" applyAlignment="1" applyProtection="1">
      <alignment/>
      <protection hidden="1" locked="0"/>
    </xf>
    <xf numFmtId="0" fontId="20" fillId="0" borderId="54" xfId="0" applyFont="1" applyBorder="1" applyAlignment="1" applyProtection="1">
      <alignment horizontal="center" textRotation="90"/>
      <protection hidden="1"/>
    </xf>
    <xf numFmtId="0" fontId="20" fillId="0" borderId="45" xfId="0" applyFont="1" applyBorder="1" applyAlignment="1" applyProtection="1">
      <alignment horizontal="center" textRotation="90"/>
      <protection hidden="1"/>
    </xf>
    <xf numFmtId="0" fontId="8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47" xfId="0" applyNumberFormat="1" applyFont="1" applyBorder="1" applyAlignment="1" applyProtection="1">
      <alignment horizontal="center"/>
      <protection hidden="1"/>
    </xf>
    <xf numFmtId="0" fontId="28" fillId="0" borderId="57" xfId="0" applyNumberFormat="1" applyFont="1" applyBorder="1" applyAlignment="1" applyProtection="1">
      <alignment horizontal="center"/>
      <protection hidden="1"/>
    </xf>
    <xf numFmtId="0" fontId="28" fillId="0" borderId="20" xfId="0" applyNumberFormat="1" applyFont="1" applyBorder="1" applyAlignment="1" applyProtection="1">
      <alignment horizontal="center"/>
      <protection hidden="1"/>
    </xf>
    <xf numFmtId="15" fontId="26" fillId="0" borderId="0" xfId="0" applyNumberFormat="1" applyFont="1" applyAlignment="1" applyProtection="1">
      <alignment horizont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8" fillId="0" borderId="58" xfId="0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9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51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180975</xdr:colOff>
      <xdr:row>30</xdr:row>
      <xdr:rowOff>0</xdr:rowOff>
    </xdr:from>
    <xdr:to>
      <xdr:col>10</xdr:col>
      <xdr:colOff>209550</xdr:colOff>
      <xdr:row>33</xdr:row>
      <xdr:rowOff>0</xdr:rowOff>
    </xdr:to>
    <xdr:sp macro="[0]!Spielerübernahme">
      <xdr:nvSpPr>
        <xdr:cNvPr id="1" name="Rectangle 1"/>
        <xdr:cNvSpPr>
          <a:spLocks/>
        </xdr:cNvSpPr>
      </xdr:nvSpPr>
      <xdr:spPr>
        <a:xfrm>
          <a:off x="3400425" y="4895850"/>
          <a:ext cx="1876425" cy="4857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 übernehmen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104775</xdr:colOff>
      <xdr:row>25</xdr:row>
      <xdr:rowOff>123825</xdr:rowOff>
    </xdr:from>
    <xdr:to>
      <xdr:col>15</xdr:col>
      <xdr:colOff>76200</xdr:colOff>
      <xdr:row>27</xdr:row>
      <xdr:rowOff>38100</xdr:rowOff>
    </xdr:to>
    <xdr:sp macro="[0]!Auslosung">
      <xdr:nvSpPr>
        <xdr:cNvPr id="1" name="Text Box 4"/>
        <xdr:cNvSpPr txBox="1">
          <a:spLocks noChangeArrowheads="1"/>
        </xdr:cNvSpPr>
      </xdr:nvSpPr>
      <xdr:spPr>
        <a:xfrm>
          <a:off x="6962775" y="5029200"/>
          <a:ext cx="1524000" cy="2952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Turnier</a:t>
          </a:r>
        </a:p>
      </xdr:txBody>
    </xdr:sp>
    <xdr:clientData/>
  </xdr:twoCellAnchor>
  <xdr:twoCellAnchor editAs="absolute">
    <xdr:from>
      <xdr:col>11</xdr:col>
      <xdr:colOff>66675</xdr:colOff>
      <xdr:row>17</xdr:row>
      <xdr:rowOff>57150</xdr:rowOff>
    </xdr:from>
    <xdr:to>
      <xdr:col>15</xdr:col>
      <xdr:colOff>114300</xdr:colOff>
      <xdr:row>19</xdr:row>
      <xdr:rowOff>57150</xdr:rowOff>
    </xdr:to>
    <xdr:sp macro="[0]!Spielplananpassung_14_1">
      <xdr:nvSpPr>
        <xdr:cNvPr id="2" name="Text Box 6"/>
        <xdr:cNvSpPr txBox="1">
          <a:spLocks noChangeArrowheads="1"/>
        </xdr:cNvSpPr>
      </xdr:nvSpPr>
      <xdr:spPr>
        <a:xfrm>
          <a:off x="6924675" y="3390900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11</xdr:col>
      <xdr:colOff>66675</xdr:colOff>
      <xdr:row>19</xdr:row>
      <xdr:rowOff>180975</xdr:rowOff>
    </xdr:from>
    <xdr:to>
      <xdr:col>15</xdr:col>
      <xdr:colOff>114300</xdr:colOff>
      <xdr:row>22</xdr:row>
      <xdr:rowOff>0</xdr:rowOff>
    </xdr:to>
    <xdr:sp macro="[0]!Spielplananpassung_89_Ball">
      <xdr:nvSpPr>
        <xdr:cNvPr id="3" name="Text Box 7"/>
        <xdr:cNvSpPr txBox="1">
          <a:spLocks noChangeArrowheads="1"/>
        </xdr:cNvSpPr>
      </xdr:nvSpPr>
      <xdr:spPr>
        <a:xfrm>
          <a:off x="6924675" y="39147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11</xdr:col>
      <xdr:colOff>66675</xdr:colOff>
      <xdr:row>22</xdr:row>
      <xdr:rowOff>133350</xdr:rowOff>
    </xdr:from>
    <xdr:to>
      <xdr:col>15</xdr:col>
      <xdr:colOff>114300</xdr:colOff>
      <xdr:row>24</xdr:row>
      <xdr:rowOff>142875</xdr:rowOff>
    </xdr:to>
    <xdr:sp macro="[0]!Spielplanleerung">
      <xdr:nvSpPr>
        <xdr:cNvPr id="4" name="Text Box 8"/>
        <xdr:cNvSpPr txBox="1">
          <a:spLocks noChangeArrowheads="1"/>
        </xdr:cNvSpPr>
      </xdr:nvSpPr>
      <xdr:spPr>
        <a:xfrm>
          <a:off x="6924675" y="44481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44</xdr:col>
      <xdr:colOff>19050</xdr:colOff>
      <xdr:row>35</xdr:row>
      <xdr:rowOff>57150</xdr:rowOff>
    </xdr:from>
    <xdr:to>
      <xdr:col>46</xdr:col>
      <xdr:colOff>133350</xdr:colOff>
      <xdr:row>36</xdr:row>
      <xdr:rowOff>114300</xdr:rowOff>
    </xdr:to>
    <xdr:sp macro="[0]!Tabellenaktualisierung">
      <xdr:nvSpPr>
        <xdr:cNvPr id="1" name="Rectangle 1"/>
        <xdr:cNvSpPr>
          <a:spLocks/>
        </xdr:cNvSpPr>
      </xdr:nvSpPr>
      <xdr:spPr>
        <a:xfrm>
          <a:off x="7143750" y="4972050"/>
          <a:ext cx="1343025" cy="1905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aktualisieren</a:t>
          </a:r>
        </a:p>
      </xdr:txBody>
    </xdr:sp>
    <xdr:clientData/>
  </xdr:twoCellAnchor>
  <xdr:twoCellAnchor editAs="absolute">
    <xdr:from>
      <xdr:col>3</xdr:col>
      <xdr:colOff>85725</xdr:colOff>
      <xdr:row>32</xdr:row>
      <xdr:rowOff>57150</xdr:rowOff>
    </xdr:from>
    <xdr:to>
      <xdr:col>4</xdr:col>
      <xdr:colOff>38100</xdr:colOff>
      <xdr:row>33</xdr:row>
      <xdr:rowOff>104775</xdr:rowOff>
    </xdr:to>
    <xdr:sp macro="[0]!Auslosung_Viertelfinale">
      <xdr:nvSpPr>
        <xdr:cNvPr id="2" name="Rectangle 10"/>
        <xdr:cNvSpPr>
          <a:spLocks/>
        </xdr:cNvSpPr>
      </xdr:nvSpPr>
      <xdr:spPr>
        <a:xfrm>
          <a:off x="733425" y="4562475"/>
          <a:ext cx="1343025" cy="18097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Zulosung 1/4 Finale</a:t>
          </a:r>
        </a:p>
      </xdr:txBody>
    </xdr:sp>
    <xdr:clientData/>
  </xdr:twoCellAnchor>
  <xdr:twoCellAnchor editAs="absolute">
    <xdr:from>
      <xdr:col>4</xdr:col>
      <xdr:colOff>152400</xdr:colOff>
      <xdr:row>32</xdr:row>
      <xdr:rowOff>57150</xdr:rowOff>
    </xdr:from>
    <xdr:to>
      <xdr:col>5</xdr:col>
      <xdr:colOff>180975</xdr:colOff>
      <xdr:row>33</xdr:row>
      <xdr:rowOff>114300</xdr:rowOff>
    </xdr:to>
    <xdr:sp macro="[0]!Viertelfinale_löschen">
      <xdr:nvSpPr>
        <xdr:cNvPr id="3" name="Rectangle 11"/>
        <xdr:cNvSpPr>
          <a:spLocks/>
        </xdr:cNvSpPr>
      </xdr:nvSpPr>
      <xdr:spPr>
        <a:xfrm>
          <a:off x="2190750" y="4562475"/>
          <a:ext cx="1333500" cy="190500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 Finale leer</a:t>
          </a:r>
        </a:p>
      </xdr:txBody>
    </xdr:sp>
    <xdr:clientData/>
  </xdr:twoCellAnchor>
  <xdr:twoCellAnchor editAs="absolute">
    <xdr:from>
      <xdr:col>3</xdr:col>
      <xdr:colOff>876300</xdr:colOff>
      <xdr:row>59</xdr:row>
      <xdr:rowOff>0</xdr:rowOff>
    </xdr:from>
    <xdr:to>
      <xdr:col>4</xdr:col>
      <xdr:colOff>1085850</xdr:colOff>
      <xdr:row>62</xdr:row>
      <xdr:rowOff>85725</xdr:rowOff>
    </xdr:to>
    <xdr:sp macro="[0]!csvspeichern">
      <xdr:nvSpPr>
        <xdr:cNvPr id="4" name="Text Box 12"/>
        <xdr:cNvSpPr txBox="1">
          <a:spLocks noChangeArrowheads="1"/>
        </xdr:cNvSpPr>
      </xdr:nvSpPr>
      <xdr:spPr>
        <a:xfrm>
          <a:off x="1524000" y="8401050"/>
          <a:ext cx="1600200" cy="5143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Speichern &amp;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 Update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22</xdr:row>
      <xdr:rowOff>104775</xdr:rowOff>
    </xdr:from>
    <xdr:to>
      <xdr:col>8</xdr:col>
      <xdr:colOff>200025</xdr:colOff>
      <xdr:row>25</xdr:row>
      <xdr:rowOff>9525</xdr:rowOff>
    </xdr:to>
    <xdr:sp macro="[0]!Tabellenaktualisierung">
      <xdr:nvSpPr>
        <xdr:cNvPr id="1" name="Text Box 1"/>
        <xdr:cNvSpPr txBox="1">
          <a:spLocks noChangeArrowheads="1"/>
        </xdr:cNvSpPr>
      </xdr:nvSpPr>
      <xdr:spPr>
        <a:xfrm>
          <a:off x="3886200" y="3086100"/>
          <a:ext cx="1133475" cy="4667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428625</xdr:rowOff>
    </xdr:from>
    <xdr:to>
      <xdr:col>4</xdr:col>
      <xdr:colOff>333375</xdr:colOff>
      <xdr:row>0</xdr:row>
      <xdr:rowOff>590550</xdr:rowOff>
    </xdr:to>
    <xdr:sp macro="[0]!Urkunde1a">
      <xdr:nvSpPr>
        <xdr:cNvPr id="1" name="Rectangle 1"/>
        <xdr:cNvSpPr>
          <a:spLocks/>
        </xdr:cNvSpPr>
      </xdr:nvSpPr>
      <xdr:spPr>
        <a:xfrm>
          <a:off x="5695950" y="428625"/>
          <a:ext cx="1343025" cy="1619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 1</a:t>
          </a:r>
        </a:p>
      </xdr:txBody>
    </xdr:sp>
    <xdr:clientData/>
  </xdr:twoCellAnchor>
  <xdr:twoCellAnchor>
    <xdr:from>
      <xdr:col>2</xdr:col>
      <xdr:colOff>495300</xdr:colOff>
      <xdr:row>0</xdr:row>
      <xdr:rowOff>657225</xdr:rowOff>
    </xdr:from>
    <xdr:to>
      <xdr:col>4</xdr:col>
      <xdr:colOff>314325</xdr:colOff>
      <xdr:row>0</xdr:row>
      <xdr:rowOff>847725</xdr:rowOff>
    </xdr:to>
    <xdr:sp macro="[0]!Urkunde2">
      <xdr:nvSpPr>
        <xdr:cNvPr id="2" name="Rectangle 2"/>
        <xdr:cNvSpPr>
          <a:spLocks/>
        </xdr:cNvSpPr>
      </xdr:nvSpPr>
      <xdr:spPr>
        <a:xfrm>
          <a:off x="5676900" y="657225"/>
          <a:ext cx="1343025" cy="190500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 2</a:t>
          </a:r>
        </a:p>
      </xdr:txBody>
    </xdr:sp>
    <xdr:clientData/>
  </xdr:twoCellAnchor>
  <xdr:twoCellAnchor>
    <xdr:from>
      <xdr:col>2</xdr:col>
      <xdr:colOff>495300</xdr:colOff>
      <xdr:row>0</xdr:row>
      <xdr:rowOff>904875</xdr:rowOff>
    </xdr:from>
    <xdr:to>
      <xdr:col>4</xdr:col>
      <xdr:colOff>314325</xdr:colOff>
      <xdr:row>0</xdr:row>
      <xdr:rowOff>1066800</xdr:rowOff>
    </xdr:to>
    <xdr:sp macro="[0]!urkunde3">
      <xdr:nvSpPr>
        <xdr:cNvPr id="3" name="Rectangle 3"/>
        <xdr:cNvSpPr>
          <a:spLocks/>
        </xdr:cNvSpPr>
      </xdr:nvSpPr>
      <xdr:spPr>
        <a:xfrm>
          <a:off x="5676900" y="904875"/>
          <a:ext cx="1343025" cy="1619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 3</a:t>
          </a:r>
        </a:p>
      </xdr:txBody>
    </xdr:sp>
    <xdr:clientData/>
  </xdr:twoCellAnchor>
  <xdr:twoCellAnchor>
    <xdr:from>
      <xdr:col>2</xdr:col>
      <xdr:colOff>476250</xdr:colOff>
      <xdr:row>0</xdr:row>
      <xdr:rowOff>1143000</xdr:rowOff>
    </xdr:from>
    <xdr:to>
      <xdr:col>4</xdr:col>
      <xdr:colOff>295275</xdr:colOff>
      <xdr:row>1</xdr:row>
      <xdr:rowOff>95250</xdr:rowOff>
    </xdr:to>
    <xdr:sp macro="[0]!urkunde4">
      <xdr:nvSpPr>
        <xdr:cNvPr id="4" name="Rectangle 4"/>
        <xdr:cNvSpPr>
          <a:spLocks/>
        </xdr:cNvSpPr>
      </xdr:nvSpPr>
      <xdr:spPr>
        <a:xfrm>
          <a:off x="5657850" y="1143000"/>
          <a:ext cx="1343025" cy="1619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 4</a:t>
          </a:r>
        </a:p>
      </xdr:txBody>
    </xdr:sp>
    <xdr:clientData/>
  </xdr:twoCellAnchor>
  <xdr:twoCellAnchor>
    <xdr:from>
      <xdr:col>2</xdr:col>
      <xdr:colOff>476250</xdr:colOff>
      <xdr:row>1</xdr:row>
      <xdr:rowOff>152400</xdr:rowOff>
    </xdr:from>
    <xdr:to>
      <xdr:col>4</xdr:col>
      <xdr:colOff>295275</xdr:colOff>
      <xdr:row>1</xdr:row>
      <xdr:rowOff>314325</xdr:rowOff>
    </xdr:to>
    <xdr:sp macro="[0]!urkunde1b4">
      <xdr:nvSpPr>
        <xdr:cNvPr id="5" name="Rectangle 5"/>
        <xdr:cNvSpPr>
          <a:spLocks/>
        </xdr:cNvSpPr>
      </xdr:nvSpPr>
      <xdr:spPr>
        <a:xfrm>
          <a:off x="5657850" y="1362075"/>
          <a:ext cx="1343025" cy="161925"/>
        </a:xfrm>
        <a:prstGeom prst="rect">
          <a:avLst/>
        </a:prstGeom>
        <a:solidFill>
          <a:srgbClr val="00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 1- 4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age%20Billard\Turnierpl&#228;ne\Turnierpl&#228;ne%20020912\BBV%20Turnierplan%20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eck%20Michael\Desktop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J27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4.421875" style="0" bestFit="1" customWidth="1"/>
    <col min="2" max="2" width="13.7109375" style="0" customWidth="1"/>
    <col min="3" max="3" width="13.57421875" style="0" customWidth="1"/>
    <col min="4" max="4" width="16.57421875" style="0" customWidth="1"/>
    <col min="5" max="5" width="23.7109375" style="0" customWidth="1"/>
    <col min="6" max="6" width="4.00390625" style="0" customWidth="1"/>
    <col min="7" max="7" width="6.00390625" style="0" hidden="1" customWidth="1"/>
    <col min="8" max="10" width="0" style="0" hidden="1" customWidth="1"/>
  </cols>
  <sheetData>
    <row r="1" ht="12.75">
      <c r="B1" s="254" t="s">
        <v>193</v>
      </c>
    </row>
    <row r="2" ht="12.75">
      <c r="B2" s="254" t="s">
        <v>194</v>
      </c>
    </row>
    <row r="3" ht="12.75">
      <c r="B3" s="254" t="s">
        <v>195</v>
      </c>
    </row>
    <row r="4" spans="1:6" ht="12.75">
      <c r="A4" s="255"/>
      <c r="B4" s="256"/>
      <c r="C4" s="255"/>
      <c r="D4" s="255"/>
      <c r="E4" s="255"/>
      <c r="F4" s="255"/>
    </row>
    <row r="5" spans="1:6" ht="12.75">
      <c r="A5" s="255"/>
      <c r="B5" t="s">
        <v>196</v>
      </c>
      <c r="C5" t="s">
        <v>197</v>
      </c>
      <c r="D5" t="s">
        <v>198</v>
      </c>
      <c r="E5" t="s">
        <v>4</v>
      </c>
      <c r="F5" s="257"/>
    </row>
    <row r="6" spans="1:10" ht="12.75">
      <c r="A6" s="255">
        <v>1</v>
      </c>
      <c r="B6">
        <v>150347</v>
      </c>
      <c r="C6" t="s">
        <v>199</v>
      </c>
      <c r="D6" t="s">
        <v>200</v>
      </c>
      <c r="E6" t="s">
        <v>201</v>
      </c>
      <c r="F6" s="255"/>
      <c r="G6" s="258" t="str">
        <f>IF(C6&amp;" "&amp;D6=" ","",C6&amp;" "&amp;D6)</f>
        <v>Julian Kurz</v>
      </c>
      <c r="H6" s="258" t="str">
        <f>IF(E6="","",E6)</f>
        <v>PBSC Donauwörth</v>
      </c>
      <c r="I6" s="258"/>
      <c r="J6" s="258">
        <f>IF(B6="","",B6)</f>
        <v>150347</v>
      </c>
    </row>
    <row r="7" spans="1:10" ht="12.75">
      <c r="A7" s="255">
        <v>2</v>
      </c>
      <c r="B7">
        <v>164727</v>
      </c>
      <c r="C7" t="s">
        <v>202</v>
      </c>
      <c r="D7" t="s">
        <v>203</v>
      </c>
      <c r="E7" t="s">
        <v>204</v>
      </c>
      <c r="F7" s="255"/>
      <c r="G7" s="258" t="str">
        <f aca="true" t="shared" si="0" ref="G7:G21">IF(C7&amp;" "&amp;D7=" ","",C7&amp;" "&amp;D7)</f>
        <v>Christoph Wiedenmann</v>
      </c>
      <c r="H7" s="258" t="str">
        <f aca="true" t="shared" si="1" ref="H7:H21">IF(E7="","",E7)</f>
        <v>1.PBC Königsbrunn</v>
      </c>
      <c r="I7" s="258"/>
      <c r="J7" s="258">
        <f aca="true" t="shared" si="2" ref="J7:J21">IF(B7="","",B7)</f>
        <v>164727</v>
      </c>
    </row>
    <row r="8" spans="1:10" ht="12.75">
      <c r="A8" s="255">
        <v>3</v>
      </c>
      <c r="B8">
        <v>176593</v>
      </c>
      <c r="C8" t="s">
        <v>205</v>
      </c>
      <c r="D8" t="s">
        <v>206</v>
      </c>
      <c r="E8" t="s">
        <v>207</v>
      </c>
      <c r="F8" s="255"/>
      <c r="G8" s="258" t="str">
        <f t="shared" si="0"/>
        <v>Oliver Luhn</v>
      </c>
      <c r="H8" s="258" t="str">
        <f t="shared" si="1"/>
        <v>BSV Forum</v>
      </c>
      <c r="I8" s="258"/>
      <c r="J8" s="258">
        <f t="shared" si="2"/>
        <v>176593</v>
      </c>
    </row>
    <row r="9" spans="1:10" ht="12.75">
      <c r="A9" s="255">
        <v>4</v>
      </c>
      <c r="B9">
        <v>144446</v>
      </c>
      <c r="C9" t="s">
        <v>208</v>
      </c>
      <c r="D9" t="s">
        <v>209</v>
      </c>
      <c r="E9" t="s">
        <v>207</v>
      </c>
      <c r="F9" s="255"/>
      <c r="G9" s="258" t="str">
        <f t="shared" si="0"/>
        <v>Florian Guddat</v>
      </c>
      <c r="H9" s="258" t="str">
        <f t="shared" si="1"/>
        <v>BSV Forum</v>
      </c>
      <c r="I9" s="258"/>
      <c r="J9" s="258">
        <f t="shared" si="2"/>
        <v>144446</v>
      </c>
    </row>
    <row r="10" spans="1:10" ht="12.75">
      <c r="A10" s="255">
        <v>5</v>
      </c>
      <c r="B10">
        <v>162343</v>
      </c>
      <c r="C10" t="s">
        <v>210</v>
      </c>
      <c r="D10" t="s">
        <v>211</v>
      </c>
      <c r="E10" t="s">
        <v>191</v>
      </c>
      <c r="F10" s="255"/>
      <c r="G10" s="258" t="str">
        <f t="shared" si="0"/>
        <v>Luis Swidersky</v>
      </c>
      <c r="H10" s="258" t="str">
        <f t="shared" si="1"/>
        <v>BSC Martinsried</v>
      </c>
      <c r="I10" s="258"/>
      <c r="J10" s="258">
        <f t="shared" si="2"/>
        <v>162343</v>
      </c>
    </row>
    <row r="11" spans="1:10" ht="12.75">
      <c r="A11" s="255">
        <v>6</v>
      </c>
      <c r="B11">
        <v>149625</v>
      </c>
      <c r="C11" t="s">
        <v>212</v>
      </c>
      <c r="D11" t="s">
        <v>213</v>
      </c>
      <c r="E11" t="s">
        <v>214</v>
      </c>
      <c r="F11" s="255"/>
      <c r="G11" s="258" t="str">
        <f t="shared" si="0"/>
        <v>Daniel Koslitz</v>
      </c>
      <c r="H11" s="258" t="str">
        <f t="shared" si="1"/>
        <v>1.PBC Kempten</v>
      </c>
      <c r="I11" s="258"/>
      <c r="J11" s="258">
        <f t="shared" si="2"/>
        <v>149625</v>
      </c>
    </row>
    <row r="12" spans="1:10" ht="12.75">
      <c r="A12" s="255">
        <v>7</v>
      </c>
      <c r="B12">
        <v>140916</v>
      </c>
      <c r="C12" t="s">
        <v>215</v>
      </c>
      <c r="D12" t="s">
        <v>216</v>
      </c>
      <c r="E12" t="s">
        <v>201</v>
      </c>
      <c r="F12" s="255"/>
      <c r="G12" s="258" t="str">
        <f t="shared" si="0"/>
        <v>Markus Döbler</v>
      </c>
      <c r="H12" s="258" t="str">
        <f t="shared" si="1"/>
        <v>PBSC Donauwörth</v>
      </c>
      <c r="I12" s="258"/>
      <c r="J12" s="258">
        <f t="shared" si="2"/>
        <v>140916</v>
      </c>
    </row>
    <row r="13" spans="1:10" ht="12.75">
      <c r="A13" s="255">
        <v>8</v>
      </c>
      <c r="B13">
        <v>141490</v>
      </c>
      <c r="C13" t="s">
        <v>217</v>
      </c>
      <c r="D13" t="s">
        <v>218</v>
      </c>
      <c r="E13" t="s">
        <v>190</v>
      </c>
      <c r="F13" s="255"/>
      <c r="G13" s="258" t="str">
        <f t="shared" si="0"/>
        <v>Thomas Engel</v>
      </c>
      <c r="H13" s="258" t="str">
        <f t="shared" si="1"/>
        <v>1.PBC Memmingen</v>
      </c>
      <c r="I13" s="258"/>
      <c r="J13" s="258">
        <f t="shared" si="2"/>
        <v>141490</v>
      </c>
    </row>
    <row r="14" spans="1:10" ht="12.75">
      <c r="A14" s="255">
        <v>9</v>
      </c>
      <c r="F14" s="255"/>
      <c r="G14" s="258">
        <f t="shared" si="0"/>
      </c>
      <c r="H14" s="258">
        <f t="shared" si="1"/>
      </c>
      <c r="I14" s="258"/>
      <c r="J14" s="258">
        <f t="shared" si="2"/>
      </c>
    </row>
    <row r="15" spans="1:10" ht="12.75">
      <c r="A15" s="255">
        <v>10</v>
      </c>
      <c r="F15" s="255"/>
      <c r="G15" s="258">
        <f t="shared" si="0"/>
      </c>
      <c r="H15" s="258">
        <f t="shared" si="1"/>
      </c>
      <c r="I15" s="258"/>
      <c r="J15" s="258">
        <f t="shared" si="2"/>
      </c>
    </row>
    <row r="16" spans="1:10" ht="12.75">
      <c r="A16" s="255">
        <v>11</v>
      </c>
      <c r="F16" s="255"/>
      <c r="G16" s="258">
        <f t="shared" si="0"/>
      </c>
      <c r="H16" s="258">
        <f t="shared" si="1"/>
      </c>
      <c r="I16" s="258"/>
      <c r="J16" s="258">
        <f t="shared" si="2"/>
      </c>
    </row>
    <row r="17" spans="1:10" ht="12.75">
      <c r="A17" s="255">
        <v>12</v>
      </c>
      <c r="F17" s="255" t="s">
        <v>186</v>
      </c>
      <c r="G17" s="258">
        <f t="shared" si="0"/>
      </c>
      <c r="H17" s="258">
        <f t="shared" si="1"/>
      </c>
      <c r="I17" s="258"/>
      <c r="J17" s="258">
        <f t="shared" si="2"/>
      </c>
    </row>
    <row r="18" spans="1:10" ht="12.75">
      <c r="A18" s="255">
        <v>13</v>
      </c>
      <c r="F18" s="255" t="s">
        <v>186</v>
      </c>
      <c r="G18" s="258">
        <f t="shared" si="0"/>
      </c>
      <c r="H18" s="258">
        <f t="shared" si="1"/>
      </c>
      <c r="I18" s="258"/>
      <c r="J18" s="258">
        <f t="shared" si="2"/>
      </c>
    </row>
    <row r="19" spans="1:10" ht="12.75">
      <c r="A19" s="255">
        <v>14</v>
      </c>
      <c r="F19" s="255" t="s">
        <v>186</v>
      </c>
      <c r="G19" s="258">
        <f t="shared" si="0"/>
      </c>
      <c r="H19" s="258">
        <f t="shared" si="1"/>
      </c>
      <c r="I19" s="258"/>
      <c r="J19" s="258">
        <f t="shared" si="2"/>
      </c>
    </row>
    <row r="20" spans="1:10" ht="12.75">
      <c r="A20" s="255">
        <v>15</v>
      </c>
      <c r="F20" s="255" t="s">
        <v>186</v>
      </c>
      <c r="G20" s="258">
        <f t="shared" si="0"/>
      </c>
      <c r="H20" s="258">
        <f t="shared" si="1"/>
      </c>
      <c r="I20" s="258"/>
      <c r="J20" s="258">
        <f t="shared" si="2"/>
      </c>
    </row>
    <row r="21" spans="1:10" ht="12.75">
      <c r="A21" s="255">
        <v>16</v>
      </c>
      <c r="F21" s="255" t="s">
        <v>186</v>
      </c>
      <c r="G21" s="258">
        <f t="shared" si="0"/>
      </c>
      <c r="H21" s="258">
        <f t="shared" si="1"/>
      </c>
      <c r="I21" s="258"/>
      <c r="J21" s="258">
        <f t="shared" si="2"/>
      </c>
    </row>
    <row r="22" spans="1:9" ht="12.75">
      <c r="A22" s="255"/>
      <c r="B22" s="255"/>
      <c r="C22" s="255"/>
      <c r="D22" s="255"/>
      <c r="E22" s="255"/>
      <c r="F22" s="255" t="s">
        <v>186</v>
      </c>
    </row>
    <row r="23" spans="6:9" ht="12.75"/>
    <row r="24" spans="6:9" ht="12.75"/>
    <row r="27" ht="15.75">
      <c r="C27" s="259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M28"/>
  <sheetViews>
    <sheetView zoomScalePageLayoutView="0" workbookViewId="0" topLeftCell="A1">
      <selection activeCell="I40" sqref="I40"/>
    </sheetView>
  </sheetViews>
  <sheetFormatPr defaultColWidth="11.421875" defaultRowHeight="12.75"/>
  <cols>
    <col min="2" max="2" width="3.00390625" style="0" bestFit="1" customWidth="1"/>
    <col min="3" max="3" width="7.00390625" style="0" bestFit="1" customWidth="1"/>
    <col min="4" max="4" width="12.421875" style="0" customWidth="1"/>
    <col min="5" max="5" width="6.00390625" style="0" bestFit="1" customWidth="1"/>
    <col min="6" max="7" width="4.00390625" style="0" bestFit="1" customWidth="1"/>
    <col min="8" max="11" width="3.00390625" style="0" bestFit="1" customWidth="1"/>
  </cols>
  <sheetData>
    <row r="1" spans="1:13" ht="12.75">
      <c r="A1" t="s">
        <v>40</v>
      </c>
      <c r="B1">
        <v>1</v>
      </c>
      <c r="C1">
        <f>IF((SP16!D3)="Freilos",0,VLOOKUP(SP16!D3,Spielereingabe!$G$6:$J$21,4,FALSE))</f>
        <v>0</v>
      </c>
      <c r="D1">
        <f>IF((SP16!E3)="Freilos",0,VLOOKUP(SP16!E3,Spielereingabe!$G$6:$J$21,4,FALSE))</f>
        <v>0</v>
      </c>
      <c r="E1">
        <f>SP16!F3</f>
        <v>0</v>
      </c>
      <c r="F1">
        <f>SP16!G3</f>
        <v>0</v>
      </c>
      <c r="G1">
        <f>SP16!H3</f>
        <v>0</v>
      </c>
      <c r="H1">
        <f>SP16!I3</f>
        <v>0</v>
      </c>
      <c r="I1">
        <f>SP16!J3</f>
        <v>0</v>
      </c>
      <c r="J1">
        <f>SP16!K3</f>
        <v>0</v>
      </c>
      <c r="K1">
        <f>SP16!L3</f>
        <v>0</v>
      </c>
      <c r="L1" s="260">
        <f>SP16!AQ3</f>
        <v>0</v>
      </c>
      <c r="M1" s="260">
        <f>SP16!AR3</f>
        <v>0</v>
      </c>
    </row>
    <row r="2" spans="1:13" ht="12.75">
      <c r="A2" t="s">
        <v>40</v>
      </c>
      <c r="B2">
        <v>2</v>
      </c>
      <c r="C2">
        <f>IF((SP16!D4)="Freilos",0,VLOOKUP(SP16!D4,Spielereingabe!$G$6:$J$21,4,FALSE))</f>
        <v>0</v>
      </c>
      <c r="D2">
        <f>IF((SP16!E4)="Freilos",0,VLOOKUP(SP16!E4,Spielereingabe!$G$6:$J$21,4,FALSE))</f>
        <v>0</v>
      </c>
      <c r="E2">
        <f>SP16!F4</f>
        <v>0</v>
      </c>
      <c r="F2">
        <f>SP16!G4</f>
        <v>0</v>
      </c>
      <c r="G2">
        <f>SP16!H4</f>
        <v>0</v>
      </c>
      <c r="H2">
        <f>SP16!I4</f>
        <v>0</v>
      </c>
      <c r="I2">
        <f>SP16!J4</f>
        <v>0</v>
      </c>
      <c r="J2">
        <f>SP16!K4</f>
        <v>0</v>
      </c>
      <c r="K2">
        <f>SP16!L4</f>
        <v>0</v>
      </c>
      <c r="L2" s="260">
        <f>SP16!AQ4</f>
        <v>0</v>
      </c>
      <c r="M2" s="260">
        <f>SP16!AR4</f>
        <v>0</v>
      </c>
    </row>
    <row r="3" spans="1:13" ht="12.75">
      <c r="A3" t="s">
        <v>40</v>
      </c>
      <c r="B3">
        <v>3</v>
      </c>
      <c r="C3">
        <f>IF((SP16!D5)="Freilos",0,VLOOKUP(SP16!D5,Spielereingabe!$G$6:$J$21,4,FALSE))</f>
        <v>0</v>
      </c>
      <c r="D3">
        <f>IF((SP16!E5)="Freilos",0,VLOOKUP(SP16!E5,Spielereingabe!$G$6:$J$21,4,FALSE))</f>
        <v>0</v>
      </c>
      <c r="E3">
        <f>SP16!F5</f>
        <v>0</v>
      </c>
      <c r="F3">
        <f>SP16!G5</f>
        <v>0</v>
      </c>
      <c r="G3">
        <f>SP16!H5</f>
        <v>0</v>
      </c>
      <c r="H3">
        <f>SP16!I5</f>
        <v>0</v>
      </c>
      <c r="I3">
        <f>SP16!J5</f>
        <v>0</v>
      </c>
      <c r="J3">
        <f>SP16!K5</f>
        <v>0</v>
      </c>
      <c r="K3">
        <f>SP16!L5</f>
        <v>0</v>
      </c>
      <c r="L3" s="260">
        <f>SP16!AQ5</f>
        <v>0</v>
      </c>
      <c r="M3" s="260">
        <f>SP16!AR5</f>
        <v>0</v>
      </c>
    </row>
    <row r="4" spans="1:13" ht="12.75">
      <c r="A4" t="s">
        <v>40</v>
      </c>
      <c r="B4">
        <v>4</v>
      </c>
      <c r="C4">
        <f>IF((SP16!D6)="Freilos",0,VLOOKUP(SP16!D6,Spielereingabe!$G$6:$J$21,4,FALSE))</f>
        <v>0</v>
      </c>
      <c r="D4">
        <f>IF((SP16!E6)="Freilos",0,VLOOKUP(SP16!E6,Spielereingabe!$G$6:$J$21,4,FALSE))</f>
        <v>0</v>
      </c>
      <c r="E4">
        <f>SP16!F6</f>
        <v>0</v>
      </c>
      <c r="F4">
        <f>SP16!G6</f>
        <v>0</v>
      </c>
      <c r="G4">
        <f>SP16!H6</f>
        <v>0</v>
      </c>
      <c r="H4">
        <f>SP16!I6</f>
        <v>0</v>
      </c>
      <c r="I4">
        <f>SP16!J6</f>
        <v>0</v>
      </c>
      <c r="J4">
        <f>SP16!K6</f>
        <v>0</v>
      </c>
      <c r="K4">
        <f>SP16!L6</f>
        <v>0</v>
      </c>
      <c r="L4" s="260">
        <f>SP16!AQ6</f>
        <v>0</v>
      </c>
      <c r="M4" s="260">
        <f>SP16!AR6</f>
        <v>0</v>
      </c>
    </row>
    <row r="5" spans="1:13" ht="12.75">
      <c r="A5" t="s">
        <v>40</v>
      </c>
      <c r="B5">
        <v>5</v>
      </c>
      <c r="C5">
        <f>IF((SP16!D7)="Freilos",0,VLOOKUP(SP16!D7,Spielereingabe!$G$6:$J$21,4,FALSE))</f>
        <v>0</v>
      </c>
      <c r="D5">
        <f>IF((SP16!E7)="Freilos",0,VLOOKUP(SP16!E7,Spielereingabe!$G$6:$J$21,4,FALSE))</f>
        <v>0</v>
      </c>
      <c r="E5">
        <f>SP16!F7</f>
        <v>0</v>
      </c>
      <c r="F5">
        <f>SP16!G7</f>
        <v>0</v>
      </c>
      <c r="G5">
        <f>SP16!H7</f>
        <v>0</v>
      </c>
      <c r="H5">
        <f>SP16!I7</f>
        <v>0</v>
      </c>
      <c r="I5">
        <f>SP16!J7</f>
        <v>0</v>
      </c>
      <c r="J5">
        <f>SP16!K7</f>
        <v>0</v>
      </c>
      <c r="K5">
        <f>SP16!L7</f>
        <v>0</v>
      </c>
      <c r="L5" s="260">
        <f>SP16!AQ7</f>
        <v>0</v>
      </c>
      <c r="M5" s="260">
        <f>SP16!AR7</f>
        <v>0</v>
      </c>
    </row>
    <row r="6" spans="1:13" ht="12.75">
      <c r="A6" t="s">
        <v>40</v>
      </c>
      <c r="B6">
        <v>6</v>
      </c>
      <c r="C6">
        <f>IF((SP16!D8)="Freilos",0,VLOOKUP(SP16!D8,Spielereingabe!$G$6:$J$21,4,FALSE))</f>
        <v>0</v>
      </c>
      <c r="D6">
        <f>IF((SP16!E8)="Freilos",0,VLOOKUP(SP16!E8,Spielereingabe!$G$6:$J$21,4,FALSE))</f>
        <v>0</v>
      </c>
      <c r="E6">
        <f>SP16!F8</f>
        <v>0</v>
      </c>
      <c r="F6">
        <f>SP16!G8</f>
        <v>0</v>
      </c>
      <c r="G6">
        <f>SP16!H8</f>
        <v>0</v>
      </c>
      <c r="H6">
        <f>SP16!I8</f>
        <v>0</v>
      </c>
      <c r="I6">
        <f>SP16!J8</f>
        <v>0</v>
      </c>
      <c r="J6">
        <f>SP16!K8</f>
        <v>0</v>
      </c>
      <c r="K6">
        <f>SP16!L8</f>
        <v>0</v>
      </c>
      <c r="L6" s="260">
        <f>SP16!AQ8</f>
        <v>0</v>
      </c>
      <c r="M6" s="260">
        <f>SP16!AR8</f>
        <v>0</v>
      </c>
    </row>
    <row r="7" spans="1:13" ht="12.75">
      <c r="A7" t="s">
        <v>40</v>
      </c>
      <c r="B7">
        <v>7</v>
      </c>
      <c r="C7">
        <f>IF((SP16!D9)="Freilos",0,VLOOKUP(SP16!D9,Spielereingabe!$G$6:$J$21,4,FALSE))</f>
        <v>0</v>
      </c>
      <c r="D7">
        <f>IF((SP16!E9)="Freilos",0,VLOOKUP(SP16!E9,Spielereingabe!$G$6:$J$21,4,FALSE))</f>
        <v>0</v>
      </c>
      <c r="E7">
        <f>SP16!F9</f>
        <v>0</v>
      </c>
      <c r="F7">
        <f>SP16!G9</f>
        <v>0</v>
      </c>
      <c r="G7">
        <f>SP16!H9</f>
        <v>0</v>
      </c>
      <c r="H7">
        <f>SP16!I9</f>
        <v>0</v>
      </c>
      <c r="I7">
        <f>SP16!J9</f>
        <v>0</v>
      </c>
      <c r="J7">
        <f>SP16!K9</f>
        <v>0</v>
      </c>
      <c r="K7">
        <f>SP16!L9</f>
        <v>0</v>
      </c>
      <c r="L7" s="260">
        <f>SP16!AQ9</f>
        <v>0</v>
      </c>
      <c r="M7" s="260">
        <f>SP16!AR9</f>
        <v>0</v>
      </c>
    </row>
    <row r="8" spans="1:13" ht="12.75">
      <c r="A8" t="s">
        <v>40</v>
      </c>
      <c r="B8">
        <v>8</v>
      </c>
      <c r="C8">
        <f>IF((SP16!D10)="Freilos",0,VLOOKUP(SP16!D10,Spielereingabe!$G$6:$J$21,4,FALSE))</f>
        <v>0</v>
      </c>
      <c r="D8">
        <f>IF((SP16!E10)="Freilos",0,VLOOKUP(SP16!E10,Spielereingabe!$G$6:$J$21,4,FALSE))</f>
        <v>0</v>
      </c>
      <c r="E8">
        <f>SP16!F10</f>
        <v>0</v>
      </c>
      <c r="F8">
        <f>SP16!G10</f>
        <v>0</v>
      </c>
      <c r="G8">
        <f>SP16!H10</f>
        <v>0</v>
      </c>
      <c r="H8">
        <f>SP16!I10</f>
        <v>0</v>
      </c>
      <c r="I8">
        <f>SP16!J10</f>
        <v>0</v>
      </c>
      <c r="J8">
        <f>SP16!K10</f>
        <v>0</v>
      </c>
      <c r="K8">
        <f>SP16!L10</f>
        <v>0</v>
      </c>
      <c r="L8" s="260">
        <f>SP16!AQ10</f>
        <v>0</v>
      </c>
      <c r="M8" s="260">
        <f>SP16!AR10</f>
        <v>0</v>
      </c>
    </row>
    <row r="9" spans="1:13" ht="12.75">
      <c r="A9" t="s">
        <v>41</v>
      </c>
      <c r="B9">
        <v>9</v>
      </c>
      <c r="C9">
        <f>IF((SP16!D11)="Freilos",0,VLOOKUP(SP16!D11,Spielereingabe!$G$6:$J$21,4,FALSE))</f>
        <v>0</v>
      </c>
      <c r="D9">
        <f>IF((SP16!E11)="Freilos",0,VLOOKUP(SP16!E11,Spielereingabe!$G$6:$J$21,4,FALSE))</f>
        <v>0</v>
      </c>
      <c r="E9">
        <f>SP16!F11</f>
        <v>0</v>
      </c>
      <c r="F9">
        <f>SP16!G11</f>
        <v>0</v>
      </c>
      <c r="G9">
        <f>SP16!H11</f>
        <v>0</v>
      </c>
      <c r="H9">
        <f>SP16!I11</f>
        <v>0</v>
      </c>
      <c r="I9">
        <f>SP16!J11</f>
        <v>0</v>
      </c>
      <c r="J9">
        <f>SP16!K11</f>
        <v>0</v>
      </c>
      <c r="K9">
        <f>SP16!L11</f>
        <v>0</v>
      </c>
      <c r="L9" s="260">
        <f>SP16!AQ11</f>
        <v>0</v>
      </c>
      <c r="M9" s="260">
        <f>SP16!AR11</f>
        <v>0</v>
      </c>
    </row>
    <row r="10" spans="1:13" ht="12.75">
      <c r="A10" t="s">
        <v>41</v>
      </c>
      <c r="B10">
        <v>10</v>
      </c>
      <c r="C10">
        <f>IF((SP16!D12)="Freilos",0,VLOOKUP(SP16!D12,Spielereingabe!$G$6:$J$21,4,FALSE))</f>
        <v>0</v>
      </c>
      <c r="D10">
        <f>IF((SP16!E12)="Freilos",0,VLOOKUP(SP16!E12,Spielereingabe!$G$6:$J$21,4,FALSE))</f>
        <v>0</v>
      </c>
      <c r="E10">
        <f>SP16!F12</f>
        <v>0</v>
      </c>
      <c r="F10">
        <f>SP16!G12</f>
        <v>0</v>
      </c>
      <c r="G10">
        <f>SP16!H12</f>
        <v>0</v>
      </c>
      <c r="H10">
        <f>SP16!I12</f>
        <v>0</v>
      </c>
      <c r="I10">
        <f>SP16!J12</f>
        <v>0</v>
      </c>
      <c r="J10">
        <f>SP16!K12</f>
        <v>0</v>
      </c>
      <c r="K10">
        <f>SP16!L12</f>
        <v>0</v>
      </c>
      <c r="L10" s="260">
        <f>SP16!AQ12</f>
        <v>0</v>
      </c>
      <c r="M10" s="260">
        <f>SP16!AR12</f>
        <v>0</v>
      </c>
    </row>
    <row r="11" spans="1:13" ht="12.75">
      <c r="A11" t="s">
        <v>41</v>
      </c>
      <c r="B11">
        <v>11</v>
      </c>
      <c r="C11">
        <f>IF((SP16!D13)="Freilos",0,VLOOKUP(SP16!D13,Spielereingabe!$G$6:$J$21,4,FALSE))</f>
        <v>0</v>
      </c>
      <c r="D11">
        <f>IF((SP16!E13)="Freilos",0,VLOOKUP(SP16!E13,Spielereingabe!$G$6:$J$21,4,FALSE))</f>
        <v>0</v>
      </c>
      <c r="E11">
        <f>SP16!F13</f>
        <v>0</v>
      </c>
      <c r="F11">
        <f>SP16!G13</f>
        <v>0</v>
      </c>
      <c r="G11">
        <f>SP16!H13</f>
        <v>0</v>
      </c>
      <c r="H11">
        <f>SP16!I13</f>
        <v>0</v>
      </c>
      <c r="I11">
        <f>SP16!J13</f>
        <v>0</v>
      </c>
      <c r="J11">
        <f>SP16!K13</f>
        <v>0</v>
      </c>
      <c r="K11">
        <f>SP16!L13</f>
        <v>0</v>
      </c>
      <c r="L11" s="260">
        <f>SP16!AQ13</f>
        <v>0</v>
      </c>
      <c r="M11" s="260">
        <f>SP16!AR13</f>
        <v>0</v>
      </c>
    </row>
    <row r="12" spans="1:13" ht="12.75">
      <c r="A12" t="s">
        <v>41</v>
      </c>
      <c r="B12">
        <v>12</v>
      </c>
      <c r="C12">
        <f>IF((SP16!D14)="Freilos",0,VLOOKUP(SP16!D14,Spielereingabe!$G$6:$J$21,4,FALSE))</f>
        <v>0</v>
      </c>
      <c r="D12">
        <f>IF((SP16!E14)="Freilos",0,VLOOKUP(SP16!E14,Spielereingabe!$G$6:$J$21,4,FALSE))</f>
        <v>0</v>
      </c>
      <c r="E12">
        <f>SP16!F14</f>
        <v>0</v>
      </c>
      <c r="F12">
        <f>SP16!G14</f>
        <v>0</v>
      </c>
      <c r="G12">
        <f>SP16!H14</f>
        <v>0</v>
      </c>
      <c r="H12">
        <f>SP16!I14</f>
        <v>0</v>
      </c>
      <c r="I12">
        <f>SP16!J14</f>
        <v>0</v>
      </c>
      <c r="J12">
        <f>SP16!K14</f>
        <v>0</v>
      </c>
      <c r="K12">
        <f>SP16!L14</f>
        <v>0</v>
      </c>
      <c r="L12" s="260">
        <f>SP16!AQ14</f>
        <v>0</v>
      </c>
      <c r="M12" s="260">
        <f>SP16!AR14</f>
        <v>0</v>
      </c>
    </row>
    <row r="13" spans="1:13" ht="12.75">
      <c r="A13" t="s">
        <v>42</v>
      </c>
      <c r="B13">
        <v>13</v>
      </c>
      <c r="C13">
        <f>IF((SP16!D15)="Freilos",0,VLOOKUP(SP16!D15,Spielereingabe!$G$6:$J$21,4,FALSE))</f>
        <v>0</v>
      </c>
      <c r="D13">
        <f>IF((SP16!E15)="Freilos",0,VLOOKUP(SP16!E15,Spielereingabe!$G$6:$J$21,4,FALSE))</f>
        <v>0</v>
      </c>
      <c r="E13">
        <f>SP16!F15</f>
        <v>0</v>
      </c>
      <c r="F13">
        <f>SP16!G15</f>
        <v>0</v>
      </c>
      <c r="G13">
        <f>SP16!H15</f>
        <v>0</v>
      </c>
      <c r="H13">
        <f>SP16!I15</f>
        <v>0</v>
      </c>
      <c r="I13">
        <f>SP16!J15</f>
        <v>0</v>
      </c>
      <c r="J13">
        <f>SP16!K15</f>
        <v>0</v>
      </c>
      <c r="K13">
        <f>SP16!L15</f>
        <v>0</v>
      </c>
      <c r="L13" s="260">
        <f>SP16!AQ15</f>
        <v>0</v>
      </c>
      <c r="M13" s="260">
        <f>SP16!AR15</f>
        <v>0</v>
      </c>
    </row>
    <row r="14" spans="1:13" ht="12.75">
      <c r="A14" t="s">
        <v>42</v>
      </c>
      <c r="B14">
        <v>13</v>
      </c>
      <c r="C14">
        <f>IF((SP16!D16)="Freilos",0,VLOOKUP(SP16!D16,Spielereingabe!$G$6:$J$21,4,FALSE))</f>
        <v>0</v>
      </c>
      <c r="D14">
        <f>IF((SP16!E16)="Freilos",0,VLOOKUP(SP16!E16,Spielereingabe!$G$6:$J$21,4,FALSE))</f>
        <v>0</v>
      </c>
      <c r="E14">
        <f>SP16!F16</f>
        <v>0</v>
      </c>
      <c r="F14">
        <f>SP16!G16</f>
        <v>0</v>
      </c>
      <c r="G14">
        <f>SP16!H16</f>
        <v>0</v>
      </c>
      <c r="H14">
        <f>SP16!I16</f>
        <v>0</v>
      </c>
      <c r="I14">
        <f>SP16!J16</f>
        <v>0</v>
      </c>
      <c r="J14">
        <f>SP16!K16</f>
        <v>0</v>
      </c>
      <c r="K14">
        <f>SP16!L16</f>
        <v>0</v>
      </c>
      <c r="L14" s="260">
        <f>SP16!AQ16</f>
        <v>0</v>
      </c>
      <c r="M14" s="260">
        <f>SP16!AR16</f>
        <v>0</v>
      </c>
    </row>
    <row r="15" spans="1:13" ht="12.75">
      <c r="A15" t="s">
        <v>42</v>
      </c>
      <c r="B15">
        <v>15</v>
      </c>
      <c r="C15">
        <f>IF((SP16!D17)="Freilos",0,VLOOKUP(SP16!D17,Spielereingabe!$G$6:$J$21,4,FALSE))</f>
        <v>0</v>
      </c>
      <c r="D15">
        <f>IF((SP16!E17)="Freilos",0,VLOOKUP(SP16!E17,Spielereingabe!$G$6:$J$21,4,FALSE))</f>
        <v>0</v>
      </c>
      <c r="E15">
        <f>SP16!F17</f>
        <v>0</v>
      </c>
      <c r="F15">
        <f>SP16!G17</f>
        <v>0</v>
      </c>
      <c r="G15">
        <f>SP16!H17</f>
        <v>0</v>
      </c>
      <c r="H15">
        <f>SP16!I17</f>
        <v>0</v>
      </c>
      <c r="I15">
        <f>SP16!J17</f>
        <v>0</v>
      </c>
      <c r="J15">
        <f>SP16!K17</f>
        <v>0</v>
      </c>
      <c r="K15">
        <f>SP16!L17</f>
        <v>0</v>
      </c>
      <c r="L15" s="260">
        <f>SP16!AQ17</f>
        <v>0</v>
      </c>
      <c r="M15" s="260">
        <f>SP16!AR17</f>
        <v>0</v>
      </c>
    </row>
    <row r="16" spans="1:13" ht="12.75">
      <c r="A16" t="s">
        <v>42</v>
      </c>
      <c r="B16">
        <v>16</v>
      </c>
      <c r="C16">
        <f>IF((SP16!D18)="Freilos",0,VLOOKUP(SP16!D18,Spielereingabe!$G$6:$J$21,4,FALSE))</f>
        <v>0</v>
      </c>
      <c r="D16">
        <f>IF((SP16!E18)="Freilos",0,VLOOKUP(SP16!E18,Spielereingabe!$G$6:$J$21,4,FALSE))</f>
        <v>0</v>
      </c>
      <c r="E16">
        <f>SP16!F18</f>
        <v>0</v>
      </c>
      <c r="F16">
        <f>SP16!G18</f>
        <v>0</v>
      </c>
      <c r="G16">
        <f>SP16!H18</f>
        <v>0</v>
      </c>
      <c r="H16">
        <f>SP16!I18</f>
        <v>0</v>
      </c>
      <c r="I16">
        <f>SP16!J18</f>
        <v>0</v>
      </c>
      <c r="J16">
        <f>SP16!K18</f>
        <v>0</v>
      </c>
      <c r="K16">
        <f>SP16!L18</f>
        <v>0</v>
      </c>
      <c r="L16" s="260">
        <f>SP16!AQ18</f>
        <v>0</v>
      </c>
      <c r="M16" s="260">
        <f>SP16!AR18</f>
        <v>0</v>
      </c>
    </row>
    <row r="17" spans="1:13" ht="12.75">
      <c r="A17" t="s">
        <v>43</v>
      </c>
      <c r="B17">
        <v>17</v>
      </c>
      <c r="C17">
        <f>IF((SP16!D19)="Freilos",0,VLOOKUP(SP16!D19,Spielereingabe!$G$6:$J$21,4,FALSE))</f>
        <v>0</v>
      </c>
      <c r="D17">
        <f>IF((SP16!E19)="Freilos",0,VLOOKUP(SP16!E19,Spielereingabe!$G$6:$J$21,4,FALSE))</f>
        <v>0</v>
      </c>
      <c r="E17">
        <f>SP16!F19</f>
        <v>0</v>
      </c>
      <c r="F17">
        <f>SP16!G19</f>
        <v>0</v>
      </c>
      <c r="G17">
        <f>SP16!H19</f>
        <v>0</v>
      </c>
      <c r="H17">
        <f>SP16!I19</f>
        <v>0</v>
      </c>
      <c r="I17">
        <f>SP16!J19</f>
        <v>0</v>
      </c>
      <c r="J17">
        <f>SP16!K19</f>
        <v>0</v>
      </c>
      <c r="K17">
        <f>SP16!L19</f>
        <v>0</v>
      </c>
      <c r="L17" s="260">
        <f>SP16!AQ19</f>
        <v>0</v>
      </c>
      <c r="M17" s="260">
        <f>SP16!AR19</f>
        <v>0</v>
      </c>
    </row>
    <row r="18" spans="1:13" ht="12.75">
      <c r="A18" t="s">
        <v>43</v>
      </c>
      <c r="B18">
        <v>18</v>
      </c>
      <c r="C18">
        <f>IF((SP16!D20)="Freilos",0,VLOOKUP(SP16!D20,Spielereingabe!$G$6:$J$21,4,FALSE))</f>
        <v>0</v>
      </c>
      <c r="D18">
        <f>IF((SP16!E20)="Freilos",0,VLOOKUP(SP16!E20,Spielereingabe!$G$6:$J$21,4,FALSE))</f>
        <v>0</v>
      </c>
      <c r="E18">
        <f>SP16!F20</f>
        <v>0</v>
      </c>
      <c r="F18">
        <f>SP16!G20</f>
        <v>0</v>
      </c>
      <c r="G18">
        <f>SP16!H20</f>
        <v>0</v>
      </c>
      <c r="H18">
        <f>SP16!I20</f>
        <v>0</v>
      </c>
      <c r="I18">
        <f>SP16!J20</f>
        <v>0</v>
      </c>
      <c r="J18">
        <f>SP16!K20</f>
        <v>0</v>
      </c>
      <c r="K18">
        <f>SP16!L20</f>
        <v>0</v>
      </c>
      <c r="L18" s="260">
        <f>SP16!AQ20</f>
        <v>0</v>
      </c>
      <c r="M18" s="260">
        <f>SP16!AR20</f>
        <v>0</v>
      </c>
    </row>
    <row r="19" spans="1:13" ht="12.75">
      <c r="A19" t="s">
        <v>43</v>
      </c>
      <c r="B19">
        <v>19</v>
      </c>
      <c r="C19">
        <f>IF((SP16!D21)="Freilos",0,VLOOKUP(SP16!D21,Spielereingabe!$G$6:$J$21,4,FALSE))</f>
        <v>0</v>
      </c>
      <c r="D19">
        <f>IF((SP16!E21)="Freilos",0,VLOOKUP(SP16!E21,Spielereingabe!$G$6:$J$21,4,FALSE))</f>
        <v>0</v>
      </c>
      <c r="E19">
        <f>SP16!F21</f>
        <v>0</v>
      </c>
      <c r="F19">
        <f>SP16!G21</f>
        <v>0</v>
      </c>
      <c r="G19">
        <f>SP16!H21</f>
        <v>0</v>
      </c>
      <c r="H19">
        <f>SP16!I21</f>
        <v>0</v>
      </c>
      <c r="I19">
        <f>SP16!J21</f>
        <v>0</v>
      </c>
      <c r="J19">
        <f>SP16!K21</f>
        <v>0</v>
      </c>
      <c r="K19">
        <f>SP16!L21</f>
        <v>0</v>
      </c>
      <c r="L19" s="260">
        <f>SP16!AQ21</f>
        <v>0</v>
      </c>
      <c r="M19" s="260">
        <f>SP16!AR21</f>
        <v>0</v>
      </c>
    </row>
    <row r="20" spans="1:13" ht="12.75">
      <c r="A20" t="s">
        <v>43</v>
      </c>
      <c r="B20">
        <v>20</v>
      </c>
      <c r="C20">
        <f>IF((SP16!D22)="Freilos",0,VLOOKUP(SP16!D22,Spielereingabe!$G$6:$J$21,4,FALSE))</f>
        <v>0</v>
      </c>
      <c r="D20">
        <f>IF((SP16!E22)="Freilos",0,VLOOKUP(SP16!E22,Spielereingabe!$G$6:$J$21,4,FALSE))</f>
        <v>0</v>
      </c>
      <c r="E20">
        <f>SP16!F22</f>
        <v>0</v>
      </c>
      <c r="F20">
        <f>SP16!G22</f>
        <v>0</v>
      </c>
      <c r="G20">
        <f>SP16!H22</f>
        <v>0</v>
      </c>
      <c r="H20">
        <f>SP16!I22</f>
        <v>0</v>
      </c>
      <c r="I20">
        <f>SP16!J22</f>
        <v>0</v>
      </c>
      <c r="J20">
        <f>SP16!K22</f>
        <v>0</v>
      </c>
      <c r="K20">
        <f>SP16!L22</f>
        <v>0</v>
      </c>
      <c r="L20" s="260">
        <f>SP16!AQ22</f>
        <v>0</v>
      </c>
      <c r="M20" s="260">
        <f>SP16!AR22</f>
        <v>0</v>
      </c>
    </row>
    <row r="21" spans="1:13" ht="12.75">
      <c r="A21" t="s">
        <v>125</v>
      </c>
      <c r="B21">
        <v>21</v>
      </c>
      <c r="C21">
        <f>IF((SP16!D23)="Freilos",0,VLOOKUP(SP16!D23,Spielereingabe!$G$6:$J$21,4,FALSE))</f>
        <v>0</v>
      </c>
      <c r="D21" t="e">
        <f>IF((SP16!E23)="Freilos",0,VLOOKUP(SP16!E23,Spielereingabe!$G$6:$J$21,4,FALSE))</f>
        <v>#N/A</v>
      </c>
      <c r="E21">
        <f>SP16!F23</f>
        <v>0</v>
      </c>
      <c r="F21">
        <f>SP16!G23</f>
        <v>0</v>
      </c>
      <c r="G21">
        <f>SP16!H23</f>
        <v>0</v>
      </c>
      <c r="H21">
        <f>SP16!I23</f>
        <v>0</v>
      </c>
      <c r="I21">
        <f>SP16!J23</f>
        <v>0</v>
      </c>
      <c r="J21">
        <f>SP16!K23</f>
        <v>0</v>
      </c>
      <c r="K21">
        <f>SP16!L23</f>
        <v>0</v>
      </c>
      <c r="L21" s="260">
        <f>SP16!AQ23</f>
        <v>0</v>
      </c>
      <c r="M21" s="260">
        <f>SP16!AR23</f>
        <v>0</v>
      </c>
    </row>
    <row r="22" spans="1:13" ht="12.75">
      <c r="A22" t="s">
        <v>125</v>
      </c>
      <c r="B22">
        <v>22</v>
      </c>
      <c r="C22">
        <f>IF((SP16!D24)="Freilos",0,VLOOKUP(SP16!D24,Spielereingabe!$G$6:$J$21,4,FALSE))</f>
        <v>0</v>
      </c>
      <c r="D22" t="e">
        <f>IF((SP16!E24)="Freilos",0,VLOOKUP(SP16!E24,Spielereingabe!$G$6:$J$21,4,FALSE))</f>
        <v>#N/A</v>
      </c>
      <c r="E22">
        <f>SP16!F24</f>
        <v>0</v>
      </c>
      <c r="F22">
        <f>SP16!G24</f>
        <v>0</v>
      </c>
      <c r="G22">
        <f>SP16!H24</f>
        <v>0</v>
      </c>
      <c r="H22">
        <f>SP16!I24</f>
        <v>0</v>
      </c>
      <c r="I22">
        <f>SP16!J24</f>
        <v>0</v>
      </c>
      <c r="J22">
        <f>SP16!K24</f>
        <v>0</v>
      </c>
      <c r="K22">
        <f>SP16!L24</f>
        <v>0</v>
      </c>
      <c r="L22" s="260">
        <f>SP16!AQ24</f>
        <v>0</v>
      </c>
      <c r="M22" s="260">
        <f>SP16!AR24</f>
        <v>0</v>
      </c>
    </row>
    <row r="23" spans="1:13" ht="12.75">
      <c r="A23" t="s">
        <v>125</v>
      </c>
      <c r="B23">
        <v>23</v>
      </c>
      <c r="C23">
        <f>IF((SP16!D25)="Freilos",0,VLOOKUP(SP16!D25,Spielereingabe!$G$6:$J$21,4,FALSE))</f>
        <v>0</v>
      </c>
      <c r="D23" t="e">
        <f>IF((SP16!E25)="Freilos",0,VLOOKUP(SP16!E25,Spielereingabe!$G$6:$J$21,4,FALSE))</f>
        <v>#N/A</v>
      </c>
      <c r="E23">
        <f>SP16!F25</f>
        <v>0</v>
      </c>
      <c r="F23">
        <f>SP16!G25</f>
        <v>0</v>
      </c>
      <c r="G23">
        <f>SP16!H25</f>
        <v>0</v>
      </c>
      <c r="H23">
        <f>SP16!I25</f>
        <v>0</v>
      </c>
      <c r="I23">
        <f>SP16!J25</f>
        <v>0</v>
      </c>
      <c r="J23">
        <f>SP16!K25</f>
        <v>0</v>
      </c>
      <c r="K23">
        <f>SP16!L25</f>
        <v>0</v>
      </c>
      <c r="L23" s="260">
        <f>SP16!AQ25</f>
        <v>0</v>
      </c>
      <c r="M23" s="260">
        <f>SP16!AR25</f>
        <v>0</v>
      </c>
    </row>
    <row r="24" spans="1:13" ht="12.75">
      <c r="A24" t="s">
        <v>125</v>
      </c>
      <c r="B24">
        <v>24</v>
      </c>
      <c r="C24">
        <f>IF((SP16!D26)="Freilos",0,VLOOKUP(SP16!D26,Spielereingabe!$G$6:$J$21,4,FALSE))</f>
        <v>0</v>
      </c>
      <c r="D24" t="e">
        <f>IF((SP16!E26)="Freilos",0,VLOOKUP(SP16!E26,Spielereingabe!$G$6:$J$21,4,FALSE))</f>
        <v>#N/A</v>
      </c>
      <c r="E24">
        <f>SP16!F26</f>
        <v>0</v>
      </c>
      <c r="F24">
        <f>SP16!G26</f>
        <v>0</v>
      </c>
      <c r="G24">
        <f>SP16!H26</f>
        <v>0</v>
      </c>
      <c r="H24">
        <f>SP16!I26</f>
        <v>0</v>
      </c>
      <c r="I24">
        <f>SP16!J26</f>
        <v>0</v>
      </c>
      <c r="J24">
        <f>SP16!K26</f>
        <v>0</v>
      </c>
      <c r="K24">
        <f>SP16!L26</f>
        <v>0</v>
      </c>
      <c r="L24" s="260">
        <f>SP16!AQ26</f>
        <v>0</v>
      </c>
      <c r="M24" s="260">
        <f>SP16!AR26</f>
        <v>0</v>
      </c>
    </row>
    <row r="25" spans="1:13" ht="12.75">
      <c r="A25" t="s">
        <v>126</v>
      </c>
      <c r="B25">
        <v>25</v>
      </c>
      <c r="C25" t="e">
        <f>IF((SP16!D27)="Freilos",0,VLOOKUP(SP16!D27,Spielereingabe!$G$6:$J$21,4,FALSE))</f>
        <v>#N/A</v>
      </c>
      <c r="D25" t="e">
        <f>IF((SP16!E27)="Freilos",0,VLOOKUP(SP16!E27,Spielereingabe!$G$6:$J$21,4,FALSE))</f>
        <v>#N/A</v>
      </c>
      <c r="E25">
        <f>SP16!F27</f>
        <v>0</v>
      </c>
      <c r="F25">
        <f>SP16!G27</f>
        <v>0</v>
      </c>
      <c r="G25">
        <f>SP16!H27</f>
        <v>0</v>
      </c>
      <c r="H25">
        <f>SP16!I27</f>
        <v>0</v>
      </c>
      <c r="I25">
        <f>SP16!J27</f>
        <v>0</v>
      </c>
      <c r="J25">
        <f>SP16!K27</f>
        <v>0</v>
      </c>
      <c r="K25">
        <f>SP16!L27</f>
        <v>0</v>
      </c>
      <c r="L25" s="260">
        <f>SP16!AQ27</f>
        <v>0</v>
      </c>
      <c r="M25" s="260">
        <f>SP16!AR27</f>
        <v>0</v>
      </c>
    </row>
    <row r="26" spans="1:13" ht="12.75">
      <c r="A26" t="s">
        <v>126</v>
      </c>
      <c r="B26">
        <v>26</v>
      </c>
      <c r="C26" t="e">
        <f>IF((SP16!D28)="Freilos",0,VLOOKUP(SP16!D28,Spielereingabe!$G$6:$J$21,4,FALSE))</f>
        <v>#N/A</v>
      </c>
      <c r="D26" t="e">
        <f>IF((SP16!E28)="Freilos",0,VLOOKUP(SP16!E28,Spielereingabe!$G$6:$J$21,4,FALSE))</f>
        <v>#N/A</v>
      </c>
      <c r="E26">
        <f>SP16!F28</f>
        <v>0</v>
      </c>
      <c r="F26">
        <f>SP16!G28</f>
        <v>0</v>
      </c>
      <c r="G26">
        <f>SP16!H28</f>
        <v>0</v>
      </c>
      <c r="H26">
        <f>SP16!I28</f>
        <v>0</v>
      </c>
      <c r="I26">
        <f>SP16!J28</f>
        <v>0</v>
      </c>
      <c r="J26">
        <f>SP16!K28</f>
        <v>0</v>
      </c>
      <c r="K26">
        <f>SP16!L28</f>
        <v>0</v>
      </c>
      <c r="L26" s="260">
        <f>SP16!AQ28</f>
        <v>0</v>
      </c>
      <c r="M26" s="260">
        <f>SP16!AR28</f>
        <v>0</v>
      </c>
    </row>
    <row r="27" spans="1:13" ht="12.75">
      <c r="A27" t="s">
        <v>117</v>
      </c>
      <c r="B27">
        <v>27</v>
      </c>
      <c r="C27" t="e">
        <f>IF((SP16!D29)="Freilos",0,VLOOKUP(SP16!D29,Spielereingabe!$G$6:$J$21,4,FALSE))</f>
        <v>#N/A</v>
      </c>
      <c r="D27" t="e">
        <f>IF((SP16!E29)="Freilos",0,VLOOKUP(SP16!E29,Spielereingabe!$G$6:$J$21,4,FALSE))</f>
        <v>#N/A</v>
      </c>
      <c r="E27">
        <f>SP16!F29</f>
        <v>0</v>
      </c>
      <c r="F27">
        <f>SP16!G29</f>
        <v>0</v>
      </c>
      <c r="G27">
        <f>SP16!H29</f>
        <v>0</v>
      </c>
      <c r="H27">
        <f>SP16!I29</f>
        <v>0</v>
      </c>
      <c r="I27">
        <f>SP16!J29</f>
        <v>0</v>
      </c>
      <c r="J27">
        <f>SP16!K29</f>
        <v>0</v>
      </c>
      <c r="K27">
        <f>SP16!L29</f>
        <v>0</v>
      </c>
      <c r="L27" s="260">
        <f>SP16!AQ29</f>
        <v>0</v>
      </c>
      <c r="M27" s="260">
        <f>SP16!AR29</f>
        <v>0</v>
      </c>
    </row>
    <row r="28" spans="1:13" ht="12.75">
      <c r="A28" t="s">
        <v>112</v>
      </c>
      <c r="B28">
        <v>28</v>
      </c>
      <c r="C28" t="e">
        <f>IF((SP16!D30)="Freilos",0,VLOOKUP(SP16!D30,Spielereingabe!$G$6:$J$21,4,FALSE))</f>
        <v>#N/A</v>
      </c>
      <c r="D28" t="e">
        <f>IF((SP16!E30)="Freilos",0,VLOOKUP(SP16!E30,Spielereingabe!$G$6:$J$21,4,FALSE))</f>
        <v>#N/A</v>
      </c>
      <c r="E28">
        <f>SP16!F30</f>
        <v>0</v>
      </c>
      <c r="F28">
        <f>SP16!G30</f>
        <v>0</v>
      </c>
      <c r="G28">
        <f>SP16!H30</f>
        <v>0</v>
      </c>
      <c r="H28">
        <f>SP16!I30</f>
        <v>0</v>
      </c>
      <c r="I28">
        <f>SP16!J30</f>
        <v>0</v>
      </c>
      <c r="J28">
        <f>SP16!K30</f>
        <v>0</v>
      </c>
      <c r="K28">
        <f>SP16!L30</f>
        <v>0</v>
      </c>
      <c r="L28" s="260">
        <f>SP16!AQ30</f>
        <v>0</v>
      </c>
      <c r="M28" s="260">
        <f>SP16!AR30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68"/>
  <sheetViews>
    <sheetView showGridLines="0" showOutlineSymbols="0" zoomScale="85" zoomScaleNormal="85" zoomScalePageLayoutView="0" workbookViewId="0" topLeftCell="A1">
      <selection activeCell="J28" sqref="J28"/>
    </sheetView>
  </sheetViews>
  <sheetFormatPr defaultColWidth="9.140625" defaultRowHeight="12.75"/>
  <cols>
    <col min="1" max="1" width="5.421875" style="2" customWidth="1"/>
    <col min="2" max="2" width="4.8515625" style="2" customWidth="1"/>
    <col min="3" max="3" width="7.00390625" style="2" hidden="1" customWidth="1"/>
    <col min="4" max="5" width="8.140625" style="2" hidden="1" customWidth="1"/>
    <col min="6" max="6" width="27.421875" style="2" customWidth="1"/>
    <col min="7" max="7" width="33.421875" style="2" customWidth="1"/>
    <col min="8" max="8" width="12.00390625" style="2" hidden="1" customWidth="1"/>
    <col min="9" max="9" width="13.421875" style="2" customWidth="1"/>
    <col min="10" max="11" width="9.140625" style="2" customWidth="1"/>
    <col min="12" max="12" width="5.00390625" style="2" customWidth="1"/>
    <col min="13" max="13" width="11.00390625" style="2" customWidth="1"/>
    <col min="14" max="14" width="7.28125" style="6" hidden="1" customWidth="1"/>
    <col min="15" max="15" width="7.28125" style="6" customWidth="1"/>
    <col min="16" max="16" width="21.00390625" style="2" bestFit="1" customWidth="1"/>
    <col min="17" max="17" width="18.28125" style="2" hidden="1" customWidth="1"/>
    <col min="18" max="18" width="3.140625" style="2" hidden="1" customWidth="1"/>
    <col min="19" max="19" width="10.7109375" style="2" hidden="1" customWidth="1"/>
    <col min="20" max="20" width="9.140625" style="2" hidden="1" customWidth="1"/>
    <col min="21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</row>
    <row r="3" spans="1:15" s="1" customFormat="1" ht="15">
      <c r="A3" s="1" t="s">
        <v>89</v>
      </c>
      <c r="N3" s="162"/>
      <c r="O3" s="162"/>
    </row>
    <row r="4" spans="1:10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48</v>
      </c>
      <c r="B5" s="1"/>
      <c r="C5" s="1"/>
      <c r="D5" s="1"/>
      <c r="E5" s="1"/>
      <c r="F5" s="1"/>
      <c r="G5" s="34"/>
      <c r="H5" s="1"/>
      <c r="I5" s="1"/>
      <c r="J5" s="1"/>
    </row>
    <row r="6" spans="1:10" ht="15">
      <c r="A6" s="1" t="s">
        <v>2</v>
      </c>
      <c r="B6" s="1"/>
      <c r="C6" s="1"/>
      <c r="D6" s="1"/>
      <c r="E6" s="1"/>
      <c r="F6" s="1"/>
      <c r="G6" s="34" t="s">
        <v>219</v>
      </c>
      <c r="H6" s="1"/>
      <c r="I6" s="1"/>
      <c r="J6" s="1" t="s">
        <v>91</v>
      </c>
    </row>
    <row r="7" spans="2:10" ht="15">
      <c r="B7" s="1"/>
      <c r="C7" s="1"/>
      <c r="D7" s="1"/>
      <c r="E7" s="1"/>
      <c r="F7" s="1"/>
      <c r="G7" s="1"/>
      <c r="H7" s="1"/>
      <c r="I7" s="1"/>
      <c r="J7" s="1" t="s">
        <v>92</v>
      </c>
    </row>
    <row r="8" spans="1:20" ht="15.75">
      <c r="A8" s="1"/>
      <c r="B8" s="35"/>
      <c r="C8" s="35"/>
      <c r="D8" s="35"/>
      <c r="E8" s="35"/>
      <c r="F8" s="35" t="s">
        <v>3</v>
      </c>
      <c r="G8" s="35" t="s">
        <v>4</v>
      </c>
      <c r="H8" s="35" t="s">
        <v>5</v>
      </c>
      <c r="I8" s="35" t="s">
        <v>6</v>
      </c>
      <c r="J8" s="1"/>
      <c r="K8" s="1"/>
      <c r="L8" s="35" t="s">
        <v>87</v>
      </c>
      <c r="M8" s="35"/>
      <c r="N8" s="163"/>
      <c r="O8" s="261" t="s">
        <v>108</v>
      </c>
      <c r="P8" s="35" t="s">
        <v>93</v>
      </c>
      <c r="R8" s="2">
        <f>COUNTA(SP16!D3:E10)/2-COUNT(SP16!AP3:AP10)</f>
        <v>0</v>
      </c>
      <c r="S8" s="176" t="e">
        <f aca="true" t="shared" si="0" ref="S8:S16">IF(AND(R8&lt;=$P$11,R8&gt;0),1,R8/$P$11)*$S$19</f>
        <v>#DIV/0!</v>
      </c>
      <c r="T8" s="2" t="s">
        <v>40</v>
      </c>
    </row>
    <row r="9" spans="1:20" ht="15.75">
      <c r="A9" s="263" t="s">
        <v>88</v>
      </c>
      <c r="B9" s="150">
        <v>1</v>
      </c>
      <c r="C9" s="36">
        <f aca="true" ca="1" t="shared" si="1" ref="C9:C24">IF(OR(F9="",F9="Freilos"),1.01,RAND())</f>
        <v>1.01</v>
      </c>
      <c r="D9" s="37" t="str">
        <f aca="true" t="shared" si="2" ref="D9:D24">IF(C9&lt;=1,F9,"Freilos")</f>
        <v>Freilos</v>
      </c>
      <c r="E9" s="37" t="s">
        <v>192</v>
      </c>
      <c r="F9" s="37" t="s">
        <v>192</v>
      </c>
      <c r="G9" s="252"/>
      <c r="H9" s="253"/>
      <c r="I9" s="253"/>
      <c r="J9" s="1" t="s">
        <v>83</v>
      </c>
      <c r="L9" s="140">
        <v>1</v>
      </c>
      <c r="M9" s="159"/>
      <c r="N9" s="6">
        <f>IF(M9="","",IF(COUNTIF(SP16!$AN$3:$AN$33,M9)=1,"",M9&amp;"-"))</f>
      </c>
      <c r="O9" s="262"/>
      <c r="P9" s="175">
        <f>IF(COUNT(SP16!AQ3:AQ33)&gt;0,MIN(SP16!AQ3:AQ33),0)</f>
        <v>0</v>
      </c>
      <c r="R9" s="2">
        <f>COUNTA(SP16!D11:E18)/2-COUNT(SP16!AP11:AP18)</f>
        <v>0</v>
      </c>
      <c r="S9" s="176" t="e">
        <f t="shared" si="0"/>
        <v>#DIV/0!</v>
      </c>
      <c r="T9" s="2" t="s">
        <v>96</v>
      </c>
    </row>
    <row r="10" spans="1:20" ht="15.75">
      <c r="A10" s="264"/>
      <c r="B10" s="151">
        <v>2</v>
      </c>
      <c r="C10" s="36">
        <f ca="1" t="shared" si="1"/>
        <v>1.01</v>
      </c>
      <c r="D10" s="38" t="str">
        <f t="shared" si="2"/>
        <v>Freilos</v>
      </c>
      <c r="E10" s="38" t="s">
        <v>192</v>
      </c>
      <c r="F10" s="38" t="s">
        <v>192</v>
      </c>
      <c r="G10" s="199"/>
      <c r="H10" s="139"/>
      <c r="I10" s="139"/>
      <c r="J10" s="1" t="s">
        <v>84</v>
      </c>
      <c r="L10" s="140">
        <v>2</v>
      </c>
      <c r="M10" s="159"/>
      <c r="N10" s="6">
        <f>IF(M10="","",IF(COUNTIF(SP16!$AN$3:$AN$33,M10)=1,"",M10&amp;"-"))</f>
      </c>
      <c r="O10" s="262"/>
      <c r="P10" s="35" t="s">
        <v>94</v>
      </c>
      <c r="R10" s="2">
        <f>COUNTA(SP16!D19:E22)/2-COUNT(SP16!AP19:AP22)</f>
        <v>0</v>
      </c>
      <c r="S10" s="176" t="e">
        <f t="shared" si="0"/>
        <v>#DIV/0!</v>
      </c>
      <c r="T10" s="2" t="s">
        <v>43</v>
      </c>
    </row>
    <row r="11" spans="1:20" ht="15.75">
      <c r="A11" s="264"/>
      <c r="B11" s="151">
        <v>3</v>
      </c>
      <c r="C11" s="36">
        <f ca="1" t="shared" si="1"/>
        <v>1.01</v>
      </c>
      <c r="D11" s="38" t="str">
        <f t="shared" si="2"/>
        <v>Freilos</v>
      </c>
      <c r="E11" s="38" t="s">
        <v>192</v>
      </c>
      <c r="F11" s="38" t="s">
        <v>192</v>
      </c>
      <c r="G11" s="199"/>
      <c r="H11" s="139"/>
      <c r="I11" s="139"/>
      <c r="J11" s="1" t="s">
        <v>59</v>
      </c>
      <c r="L11" s="140">
        <v>3</v>
      </c>
      <c r="M11" s="159"/>
      <c r="N11" s="6">
        <f>IF(M11="","",IF(COUNTIF(SP16!$AN$3:$AN$33,M11)=1,"",M11&amp;"-"))</f>
      </c>
      <c r="O11" s="262"/>
      <c r="P11" s="160">
        <f>IF((COUNTA(M9:M16))&gt;0,(COUNTA(M9:M16)),0)</f>
        <v>0</v>
      </c>
      <c r="R11" s="2">
        <f>COUNTA(SP16!D23:E36)/2-COUNT(SP16!AP23:AP26)</f>
        <v>4</v>
      </c>
      <c r="S11" s="176" t="e">
        <f t="shared" si="0"/>
        <v>#DIV/0!</v>
      </c>
      <c r="T11" s="2" t="s">
        <v>97</v>
      </c>
    </row>
    <row r="12" spans="1:20" ht="15.75">
      <c r="A12" s="265"/>
      <c r="B12" s="151">
        <v>4</v>
      </c>
      <c r="C12" s="36">
        <f ca="1" t="shared" si="1"/>
        <v>1.01</v>
      </c>
      <c r="D12" s="38" t="str">
        <f t="shared" si="2"/>
        <v>Freilos</v>
      </c>
      <c r="E12" s="38" t="s">
        <v>192</v>
      </c>
      <c r="F12" s="38" t="s">
        <v>192</v>
      </c>
      <c r="G12" s="178"/>
      <c r="H12" s="139"/>
      <c r="I12" s="139"/>
      <c r="J12" s="1" t="s">
        <v>60</v>
      </c>
      <c r="L12" s="140">
        <v>4</v>
      </c>
      <c r="M12" s="159"/>
      <c r="N12" s="6">
        <f>IF(M12="","",IF(COUNTIF(SP16!$AN$3:$AN$33,M12)=1,"",M12&amp;"-"))</f>
      </c>
      <c r="O12" s="262"/>
      <c r="P12" s="35" t="s">
        <v>105</v>
      </c>
      <c r="R12" s="2">
        <f>COUNTA(SP16!D37:E38)/2-COUNT(SP16!AP27:AP28)</f>
        <v>0</v>
      </c>
      <c r="S12" s="176" t="e">
        <f t="shared" si="0"/>
        <v>#DIV/0!</v>
      </c>
      <c r="T12" s="2" t="s">
        <v>44</v>
      </c>
    </row>
    <row r="13" spans="1:20" ht="15.75">
      <c r="A13" s="274" t="s">
        <v>107</v>
      </c>
      <c r="B13" s="3">
        <v>5</v>
      </c>
      <c r="C13" s="36">
        <f ca="1" t="shared" si="1"/>
        <v>1.01</v>
      </c>
      <c r="D13" s="38" t="str">
        <f t="shared" si="2"/>
        <v>Freilos</v>
      </c>
      <c r="E13" s="38" t="s">
        <v>192</v>
      </c>
      <c r="F13" s="38" t="s">
        <v>192</v>
      </c>
      <c r="G13" s="178"/>
      <c r="H13" s="139"/>
      <c r="I13" s="139"/>
      <c r="J13" s="1" t="s">
        <v>61</v>
      </c>
      <c r="L13" s="140">
        <v>5</v>
      </c>
      <c r="M13" s="159"/>
      <c r="N13" s="6">
        <f>IF(M13="","",IF(COUNTIF(SP16!$AN$3:$AN$33,M13)=1,"",M13&amp;"-"))</f>
      </c>
      <c r="O13" s="262"/>
      <c r="P13" s="160">
        <f>COUNTA(SP16!D3:E43)/2-COUNT(SP16!AP3:AP33)</f>
        <v>4</v>
      </c>
      <c r="R13" s="2">
        <f>COUNTA(SP16!D39:E40)/2-COUNT(SP16!AP29:AP30)</f>
        <v>0</v>
      </c>
      <c r="S13" s="176" t="e">
        <f t="shared" si="0"/>
        <v>#DIV/0!</v>
      </c>
      <c r="T13" s="2" t="s">
        <v>98</v>
      </c>
    </row>
    <row r="14" spans="1:20" ht="15.75">
      <c r="A14" s="275"/>
      <c r="B14" s="3">
        <v>6</v>
      </c>
      <c r="C14" s="36">
        <f ca="1" t="shared" si="1"/>
        <v>1.01</v>
      </c>
      <c r="D14" s="38" t="str">
        <f t="shared" si="2"/>
        <v>Freilos</v>
      </c>
      <c r="E14" s="38" t="s">
        <v>192</v>
      </c>
      <c r="F14" s="38" t="s">
        <v>192</v>
      </c>
      <c r="G14" s="178"/>
      <c r="H14" s="139"/>
      <c r="I14" s="139"/>
      <c r="J14" s="1" t="s">
        <v>62</v>
      </c>
      <c r="L14" s="140">
        <v>6</v>
      </c>
      <c r="M14" s="159"/>
      <c r="N14" s="6">
        <f>IF(M14="","",IF(COUNTIF(SP16!$AN$3:$AN$33,M14)=1,"",M14&amp;"-"))</f>
      </c>
      <c r="O14" s="262"/>
      <c r="P14" s="140" t="s">
        <v>95</v>
      </c>
      <c r="R14" s="2">
        <f>COUNTA(SP16!D41:E41)/2-COUNT(SP16!AP31:AP31)</f>
        <v>0</v>
      </c>
      <c r="S14" s="176" t="e">
        <f t="shared" si="0"/>
        <v>#DIV/0!</v>
      </c>
      <c r="T14" s="2" t="s">
        <v>45</v>
      </c>
    </row>
    <row r="15" spans="1:20" ht="15.75">
      <c r="A15" s="275"/>
      <c r="B15" s="3">
        <v>7</v>
      </c>
      <c r="C15" s="36">
        <f ca="1" t="shared" si="1"/>
        <v>1.01</v>
      </c>
      <c r="D15" s="38" t="str">
        <f t="shared" si="2"/>
        <v>Freilos</v>
      </c>
      <c r="E15" s="38" t="s">
        <v>192</v>
      </c>
      <c r="F15" s="38" t="s">
        <v>192</v>
      </c>
      <c r="G15" s="178"/>
      <c r="H15" s="139"/>
      <c r="I15" s="139"/>
      <c r="J15" s="1" t="s">
        <v>63</v>
      </c>
      <c r="L15" s="140">
        <v>7</v>
      </c>
      <c r="M15" s="159"/>
      <c r="N15" s="6">
        <f>IF(M15="","",IF(COUNTIF(SP16!$AN$3:$AN$33,M15)=1,"",M15&amp;"-"))</f>
      </c>
      <c r="O15" s="262"/>
      <c r="P15" s="176">
        <f>MAX(S19:S20)</f>
        <v>0</v>
      </c>
      <c r="R15" s="2">
        <f>COUNTA(SP16!D42:E42)/2-COUNT(SP16!AP32:AP32)</f>
        <v>0</v>
      </c>
      <c r="S15" s="176" t="e">
        <f t="shared" si="0"/>
        <v>#DIV/0!</v>
      </c>
      <c r="T15" s="2" t="s">
        <v>99</v>
      </c>
    </row>
    <row r="16" spans="1:20" ht="15.75">
      <c r="A16" s="275"/>
      <c r="B16" s="3">
        <v>8</v>
      </c>
      <c r="C16" s="36">
        <f ca="1" t="shared" si="1"/>
        <v>1.01</v>
      </c>
      <c r="D16" s="38" t="str">
        <f t="shared" si="2"/>
        <v>Freilos</v>
      </c>
      <c r="E16" s="38" t="s">
        <v>192</v>
      </c>
      <c r="F16" s="38" t="s">
        <v>192</v>
      </c>
      <c r="G16" s="178"/>
      <c r="H16" s="149"/>
      <c r="I16" s="149"/>
      <c r="J16" s="1" t="s">
        <v>64</v>
      </c>
      <c r="L16" s="140">
        <v>8</v>
      </c>
      <c r="M16" s="159"/>
      <c r="N16" s="6">
        <f>IF(M16="","",IF(COUNTIF(SP16!$AN$3:$AN$33,M16)=1,"",M16&amp;"-"))</f>
      </c>
      <c r="O16" s="262"/>
      <c r="P16" s="35" t="s">
        <v>101</v>
      </c>
      <c r="R16" s="2">
        <f>COUNTA(SP16!D43:E43)/2-COUNT(SP16!AP33:AP33)</f>
        <v>0</v>
      </c>
      <c r="S16" s="176" t="e">
        <f t="shared" si="0"/>
        <v>#DIV/0!</v>
      </c>
      <c r="T16" s="2" t="s">
        <v>100</v>
      </c>
    </row>
    <row r="17" spans="1:19" ht="15.75">
      <c r="A17" s="275"/>
      <c r="B17" s="3">
        <v>9</v>
      </c>
      <c r="C17" s="36">
        <f ca="1" t="shared" si="1"/>
        <v>1.01</v>
      </c>
      <c r="D17" s="38" t="str">
        <f t="shared" si="2"/>
        <v>Freilos</v>
      </c>
      <c r="E17" s="38" t="s">
        <v>192</v>
      </c>
      <c r="F17" s="38" t="s">
        <v>192</v>
      </c>
      <c r="G17" s="178"/>
      <c r="H17" s="139"/>
      <c r="I17" s="139"/>
      <c r="J17" s="1" t="s">
        <v>65</v>
      </c>
      <c r="N17" s="164"/>
      <c r="O17" s="164"/>
      <c r="P17" s="176">
        <f>IF(P11&gt;0,P9+S17,0)</f>
        <v>0</v>
      </c>
      <c r="R17" s="2">
        <f>SUM(R8:R16)</f>
        <v>4</v>
      </c>
      <c r="S17" s="176" t="e">
        <f>IF(SUM(S8:S16)&gt;MAX(SP16!AR32:AR33)-P9,SUM(S8:S16),MAX(SP16!AR32:AR33)-P9)</f>
        <v>#DIV/0!</v>
      </c>
    </row>
    <row r="18" spans="1:13" ht="15.75">
      <c r="A18" s="275"/>
      <c r="B18" s="3">
        <v>10</v>
      </c>
      <c r="C18" s="36">
        <f ca="1" t="shared" si="1"/>
        <v>1.01</v>
      </c>
      <c r="D18" s="38" t="str">
        <f t="shared" si="2"/>
        <v>Freilos</v>
      </c>
      <c r="E18" s="38" t="s">
        <v>192</v>
      </c>
      <c r="F18" s="38" t="s">
        <v>192</v>
      </c>
      <c r="G18" s="233"/>
      <c r="H18" s="149"/>
      <c r="I18" s="149"/>
      <c r="J18" s="1" t="s">
        <v>66</v>
      </c>
      <c r="M18" s="152"/>
    </row>
    <row r="19" spans="1:19" ht="15.75">
      <c r="A19" s="275"/>
      <c r="B19" s="3">
        <v>11</v>
      </c>
      <c r="C19" s="36">
        <f ca="1" t="shared" si="1"/>
        <v>1.01</v>
      </c>
      <c r="D19" s="38" t="str">
        <f t="shared" si="2"/>
        <v>Freilos</v>
      </c>
      <c r="E19" s="38" t="s">
        <v>192</v>
      </c>
      <c r="F19" s="38" t="s">
        <v>192</v>
      </c>
      <c r="G19" s="178"/>
      <c r="H19" s="139"/>
      <c r="I19" s="139"/>
      <c r="J19" s="1" t="s">
        <v>67</v>
      </c>
      <c r="S19" s="177">
        <f>IF(COUNTIF(SP16!AS3:AS33,"&gt;0")&gt;0,SUM(SP16!AS3:AS33)/COUNTIF(SP16!AS3:AS33,"&gt;0"),0)</f>
        <v>0</v>
      </c>
    </row>
    <row r="20" spans="1:19" ht="15.75">
      <c r="A20" s="275"/>
      <c r="B20" s="3">
        <v>12</v>
      </c>
      <c r="C20" s="36">
        <f ca="1" t="shared" si="1"/>
        <v>1.01</v>
      </c>
      <c r="D20" s="38" t="str">
        <f t="shared" si="2"/>
        <v>Freilos</v>
      </c>
      <c r="E20" s="38" t="s">
        <v>192</v>
      </c>
      <c r="F20" s="38" t="s">
        <v>192</v>
      </c>
      <c r="G20" s="178"/>
      <c r="H20" s="139"/>
      <c r="I20" s="139"/>
      <c r="J20" s="1" t="s">
        <v>68</v>
      </c>
      <c r="S20" s="177">
        <f>IF(SUM(SP16!F33:G33)&gt;0,(P17-P9)/P13,(P17-P9)/(P13-1))</f>
        <v>0</v>
      </c>
    </row>
    <row r="21" spans="1:10" ht="15">
      <c r="A21" s="275"/>
      <c r="B21" s="3">
        <v>13</v>
      </c>
      <c r="C21" s="36">
        <f ca="1" t="shared" si="1"/>
        <v>1.01</v>
      </c>
      <c r="D21" s="38" t="str">
        <f t="shared" si="2"/>
        <v>Freilos</v>
      </c>
      <c r="E21" s="38" t="s">
        <v>192</v>
      </c>
      <c r="F21" s="38" t="s">
        <v>192</v>
      </c>
      <c r="G21" s="178"/>
      <c r="H21" s="139"/>
      <c r="I21" s="139"/>
      <c r="J21" s="1" t="s">
        <v>69</v>
      </c>
    </row>
    <row r="22" spans="1:10" ht="15">
      <c r="A22" s="275"/>
      <c r="B22" s="3">
        <v>14</v>
      </c>
      <c r="C22" s="36">
        <f ca="1" t="shared" si="1"/>
        <v>1.01</v>
      </c>
      <c r="D22" s="38" t="str">
        <f t="shared" si="2"/>
        <v>Freilos</v>
      </c>
      <c r="E22" s="38" t="s">
        <v>192</v>
      </c>
      <c r="F22" s="38" t="s">
        <v>192</v>
      </c>
      <c r="G22" s="178"/>
      <c r="H22" s="139"/>
      <c r="I22" s="139"/>
      <c r="J22" s="1" t="s">
        <v>70</v>
      </c>
    </row>
    <row r="23" spans="1:10" ht="15">
      <c r="A23" s="275"/>
      <c r="B23" s="3">
        <v>15</v>
      </c>
      <c r="C23" s="36">
        <f ca="1" t="shared" si="1"/>
        <v>1.01</v>
      </c>
      <c r="D23" s="38" t="str">
        <f t="shared" si="2"/>
        <v>Freilos</v>
      </c>
      <c r="E23" s="38" t="s">
        <v>192</v>
      </c>
      <c r="F23" s="38" t="s">
        <v>192</v>
      </c>
      <c r="G23" s="178"/>
      <c r="H23" s="149"/>
      <c r="I23" s="149"/>
      <c r="J23" s="1" t="s">
        <v>71</v>
      </c>
    </row>
    <row r="24" spans="1:10" ht="15.75" thickBot="1">
      <c r="A24" s="275"/>
      <c r="B24" s="4">
        <v>16</v>
      </c>
      <c r="C24" s="36">
        <f ca="1" t="shared" si="1"/>
        <v>1.01</v>
      </c>
      <c r="D24" s="38" t="str">
        <f t="shared" si="2"/>
        <v>Freilos</v>
      </c>
      <c r="E24" s="38" t="s">
        <v>192</v>
      </c>
      <c r="F24" s="38" t="s">
        <v>192</v>
      </c>
      <c r="G24" s="178"/>
      <c r="H24" s="139"/>
      <c r="I24" s="139"/>
      <c r="J24" s="1" t="s">
        <v>72</v>
      </c>
    </row>
    <row r="25" spans="1:13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86"/>
      <c r="L25" s="186"/>
      <c r="M25" s="186"/>
    </row>
    <row r="26" spans="1:16" ht="15">
      <c r="A26" s="1"/>
      <c r="B26" s="1"/>
      <c r="C26" s="1"/>
      <c r="D26" s="1"/>
      <c r="E26" s="1"/>
      <c r="F26" s="31" t="s">
        <v>49</v>
      </c>
      <c r="G26" s="268"/>
      <c r="H26" s="269"/>
      <c r="I26" s="1" t="s">
        <v>53</v>
      </c>
      <c r="J26" s="1"/>
      <c r="K26" s="186"/>
      <c r="L26" s="186"/>
      <c r="M26" s="186"/>
      <c r="P26" s="161"/>
    </row>
    <row r="27" spans="1:13" ht="15">
      <c r="A27" s="1"/>
      <c r="B27" s="1"/>
      <c r="C27" s="1"/>
      <c r="D27" s="1"/>
      <c r="E27" s="1"/>
      <c r="F27" s="33" t="s">
        <v>54</v>
      </c>
      <c r="G27" s="270"/>
      <c r="H27" s="271"/>
      <c r="I27" s="1"/>
      <c r="J27" s="1"/>
      <c r="K27" s="186"/>
      <c r="L27" s="186"/>
      <c r="M27" s="186"/>
    </row>
    <row r="28" spans="1:13" ht="15">
      <c r="A28" s="186"/>
      <c r="B28" s="186"/>
      <c r="C28" s="186"/>
      <c r="D28" s="186"/>
      <c r="E28" s="186"/>
      <c r="F28" s="32" t="s">
        <v>50</v>
      </c>
      <c r="G28" s="272"/>
      <c r="H28" s="273"/>
      <c r="I28" s="186"/>
      <c r="J28" s="186"/>
      <c r="K28" s="186"/>
      <c r="L28" s="186"/>
      <c r="M28" s="186"/>
    </row>
    <row r="29" spans="1:13" ht="15">
      <c r="A29" s="186"/>
      <c r="B29" s="186"/>
      <c r="C29" s="186"/>
      <c r="D29" s="186"/>
      <c r="E29" s="186"/>
      <c r="F29" s="32" t="s">
        <v>51</v>
      </c>
      <c r="G29" s="270"/>
      <c r="H29" s="271"/>
      <c r="I29" s="186"/>
      <c r="J29" s="186"/>
      <c r="K29" s="186"/>
      <c r="L29" s="186"/>
      <c r="M29" s="186"/>
    </row>
    <row r="30" spans="1:13" ht="15.75" thickBot="1">
      <c r="A30" s="186"/>
      <c r="B30" s="186"/>
      <c r="C30" s="186"/>
      <c r="D30" s="186"/>
      <c r="E30" s="186"/>
      <c r="F30" s="229" t="s">
        <v>52</v>
      </c>
      <c r="G30" s="266"/>
      <c r="H30" s="267"/>
      <c r="I30" s="186"/>
      <c r="J30" s="186"/>
      <c r="K30" s="186"/>
      <c r="L30" s="186"/>
      <c r="M30" s="186"/>
    </row>
    <row r="31" spans="1:13" ht="15.75" thickBot="1">
      <c r="A31" s="186"/>
      <c r="B31" s="186"/>
      <c r="C31" s="186"/>
      <c r="D31" s="186"/>
      <c r="E31" s="186"/>
      <c r="F31" s="230" t="s">
        <v>187</v>
      </c>
      <c r="G31" s="231"/>
      <c r="H31" s="232"/>
      <c r="I31" s="186"/>
      <c r="J31" s="186"/>
      <c r="K31" s="186"/>
      <c r="L31" s="186"/>
      <c r="M31" s="186"/>
    </row>
    <row r="32" spans="1:13" ht="12.75">
      <c r="A32" s="182"/>
      <c r="B32" s="182"/>
      <c r="C32" s="182"/>
      <c r="D32" s="182"/>
      <c r="E32" s="182"/>
      <c r="F32" s="186"/>
      <c r="G32" s="186"/>
      <c r="H32" s="186"/>
      <c r="I32" s="186"/>
      <c r="J32" s="186"/>
      <c r="K32" s="186"/>
      <c r="L32" s="186"/>
      <c r="M32" s="186"/>
    </row>
    <row r="33" spans="1:13" ht="15">
      <c r="A33" s="182"/>
      <c r="B33" s="182"/>
      <c r="C33" s="182"/>
      <c r="D33" s="182"/>
      <c r="E33" s="182"/>
      <c r="F33" s="38"/>
      <c r="G33" s="178"/>
      <c r="H33" s="139"/>
      <c r="I33" s="139"/>
      <c r="J33" s="186"/>
      <c r="K33" s="186"/>
      <c r="L33" s="186"/>
      <c r="M33" s="186"/>
    </row>
    <row r="34" spans="1:13" ht="12.75">
      <c r="A34" s="182"/>
      <c r="B34" s="182"/>
      <c r="C34" s="182"/>
      <c r="D34" s="182"/>
      <c r="E34" s="182"/>
      <c r="F34" s="186"/>
      <c r="G34" s="186"/>
      <c r="H34" s="186"/>
      <c r="I34" s="186"/>
      <c r="J34" s="186"/>
      <c r="K34" s="186"/>
      <c r="L34" s="186"/>
      <c r="M34" s="186"/>
    </row>
    <row r="35" spans="1:13" ht="12.75">
      <c r="A35" s="182"/>
      <c r="B35" s="182"/>
      <c r="C35" s="182"/>
      <c r="D35" s="182"/>
      <c r="E35" s="182"/>
      <c r="F35" s="186"/>
      <c r="G35" s="186"/>
      <c r="H35" s="186"/>
      <c r="I35" s="186"/>
      <c r="J35" s="186"/>
      <c r="K35" s="186"/>
      <c r="L35" s="186"/>
      <c r="M35" s="186"/>
    </row>
    <row r="36" spans="1:13" ht="12.75">
      <c r="A36" s="182">
        <f>MAX(A37:A52)</f>
        <v>16</v>
      </c>
      <c r="B36" s="182">
        <f>MAX(B37:B44)</f>
        <v>0</v>
      </c>
      <c r="C36" s="182"/>
      <c r="D36" s="182"/>
      <c r="E36" s="182"/>
      <c r="F36" s="186"/>
      <c r="G36" s="186"/>
      <c r="H36" s="186"/>
      <c r="I36" s="186"/>
      <c r="J36" s="186"/>
      <c r="K36" s="186"/>
      <c r="L36" s="186"/>
      <c r="M36" s="186"/>
    </row>
    <row r="37" spans="1:13" ht="12.75">
      <c r="A37" s="182">
        <f>IF(F9="",0,COUNTIF(F$9:F$24,F9))</f>
        <v>16</v>
      </c>
      <c r="B37" s="182">
        <f>IF(M9="",0,COUNTIF(M$9:M$16,M9))</f>
        <v>0</v>
      </c>
      <c r="C37" s="182"/>
      <c r="D37" s="182"/>
      <c r="E37" s="182"/>
      <c r="F37" s="186"/>
      <c r="G37" s="186"/>
      <c r="H37" s="186"/>
      <c r="I37" s="186"/>
      <c r="J37" s="186"/>
      <c r="K37" s="186"/>
      <c r="L37" s="186"/>
      <c r="M37" s="186"/>
    </row>
    <row r="38" spans="1:13" ht="12.75">
      <c r="A38" s="182">
        <f aca="true" t="shared" si="3" ref="A38:A52">IF(OR(F10="",F10="Freilos"),0,COUNTIF(F$9:F$24,F10))</f>
        <v>0</v>
      </c>
      <c r="B38" s="182">
        <f aca="true" t="shared" si="4" ref="B38:B44">IF(M10="",0,COUNTIF(M$9:M$16,M10))</f>
        <v>0</v>
      </c>
      <c r="C38" s="182"/>
      <c r="D38" s="182"/>
      <c r="E38" s="182"/>
      <c r="F38" s="186"/>
      <c r="G38" s="186"/>
      <c r="H38" s="186"/>
      <c r="I38" s="186"/>
      <c r="J38" s="186"/>
      <c r="K38" s="186"/>
      <c r="L38" s="186"/>
      <c r="M38" s="186"/>
    </row>
    <row r="39" spans="1:13" ht="12.75">
      <c r="A39" s="182">
        <f t="shared" si="3"/>
        <v>0</v>
      </c>
      <c r="B39" s="182">
        <f t="shared" si="4"/>
        <v>0</v>
      </c>
      <c r="C39" s="182"/>
      <c r="D39" s="182"/>
      <c r="E39" s="182"/>
      <c r="F39" s="186"/>
      <c r="G39" s="186"/>
      <c r="H39" s="186"/>
      <c r="I39" s="186"/>
      <c r="J39" s="186"/>
      <c r="K39" s="186"/>
      <c r="L39" s="186"/>
      <c r="M39" s="186"/>
    </row>
    <row r="40" spans="1:13" ht="12.75">
      <c r="A40" s="182">
        <f t="shared" si="3"/>
        <v>0</v>
      </c>
      <c r="B40" s="182">
        <f t="shared" si="4"/>
        <v>0</v>
      </c>
      <c r="C40" s="182"/>
      <c r="D40" s="182"/>
      <c r="E40" s="182"/>
      <c r="F40" s="186"/>
      <c r="G40" s="186"/>
      <c r="H40" s="186"/>
      <c r="I40" s="186"/>
      <c r="J40" s="186"/>
      <c r="K40" s="186"/>
      <c r="L40" s="186"/>
      <c r="M40" s="186"/>
    </row>
    <row r="41" spans="1:13" ht="12.75">
      <c r="A41" s="182">
        <f t="shared" si="3"/>
        <v>0</v>
      </c>
      <c r="B41" s="182">
        <f t="shared" si="4"/>
        <v>0</v>
      </c>
      <c r="C41" s="182"/>
      <c r="D41" s="182"/>
      <c r="E41" s="182"/>
      <c r="F41" s="186"/>
      <c r="G41" s="186"/>
      <c r="H41" s="186"/>
      <c r="I41" s="186"/>
      <c r="J41" s="186"/>
      <c r="K41" s="186"/>
      <c r="L41" s="186"/>
      <c r="M41" s="186"/>
    </row>
    <row r="42" spans="1:13" ht="12.75">
      <c r="A42" s="182">
        <f t="shared" si="3"/>
        <v>0</v>
      </c>
      <c r="B42" s="182">
        <f t="shared" si="4"/>
        <v>0</v>
      </c>
      <c r="C42" s="182"/>
      <c r="D42" s="182"/>
      <c r="E42" s="182"/>
      <c r="F42" s="186"/>
      <c r="G42" s="186"/>
      <c r="H42" s="186"/>
      <c r="I42" s="186"/>
      <c r="J42" s="186"/>
      <c r="K42" s="186"/>
      <c r="L42" s="186"/>
      <c r="M42" s="186"/>
    </row>
    <row r="43" spans="1:13" ht="12.75">
      <c r="A43" s="182">
        <f t="shared" si="3"/>
        <v>0</v>
      </c>
      <c r="B43" s="182">
        <f t="shared" si="4"/>
        <v>0</v>
      </c>
      <c r="C43" s="182"/>
      <c r="D43" s="182"/>
      <c r="E43" s="182"/>
      <c r="F43" s="186"/>
      <c r="G43" s="186"/>
      <c r="H43" s="186"/>
      <c r="I43" s="186"/>
      <c r="J43" s="186"/>
      <c r="K43" s="186"/>
      <c r="L43" s="186"/>
      <c r="M43" s="186"/>
    </row>
    <row r="44" spans="1:13" ht="12.75">
      <c r="A44" s="182">
        <f t="shared" si="3"/>
        <v>0</v>
      </c>
      <c r="B44" s="182">
        <f t="shared" si="4"/>
        <v>0</v>
      </c>
      <c r="C44" s="182"/>
      <c r="D44" s="182"/>
      <c r="E44" s="182"/>
      <c r="F44" s="186"/>
      <c r="G44" s="186"/>
      <c r="H44" s="186"/>
      <c r="I44" s="186"/>
      <c r="J44" s="186"/>
      <c r="K44" s="186"/>
      <c r="L44" s="186"/>
      <c r="M44" s="186"/>
    </row>
    <row r="45" spans="1:13" ht="12.75">
      <c r="A45" s="182">
        <f t="shared" si="3"/>
        <v>0</v>
      </c>
      <c r="B45" s="182"/>
      <c r="C45" s="182"/>
      <c r="D45" s="182"/>
      <c r="E45" s="182"/>
      <c r="F45" s="186"/>
      <c r="G45" s="186"/>
      <c r="H45" s="186"/>
      <c r="I45" s="186"/>
      <c r="J45" s="186"/>
      <c r="K45" s="186"/>
      <c r="L45" s="186"/>
      <c r="M45" s="186"/>
    </row>
    <row r="46" spans="1:13" ht="12.75">
      <c r="A46" s="182">
        <f t="shared" si="3"/>
        <v>0</v>
      </c>
      <c r="B46" s="182"/>
      <c r="C46" s="182"/>
      <c r="D46" s="182"/>
      <c r="E46" s="182"/>
      <c r="F46" s="186"/>
      <c r="G46" s="186"/>
      <c r="H46" s="186"/>
      <c r="I46" s="186"/>
      <c r="J46" s="186"/>
      <c r="K46" s="186"/>
      <c r="L46" s="186"/>
      <c r="M46" s="186"/>
    </row>
    <row r="47" spans="1:13" ht="12.75">
      <c r="A47" s="182">
        <f t="shared" si="3"/>
        <v>0</v>
      </c>
      <c r="B47" s="182"/>
      <c r="C47" s="182"/>
      <c r="D47" s="182"/>
      <c r="E47" s="182"/>
      <c r="F47" s="186"/>
      <c r="G47" s="186"/>
      <c r="H47" s="186"/>
      <c r="I47" s="186"/>
      <c r="J47" s="186"/>
      <c r="K47" s="186"/>
      <c r="L47" s="186"/>
      <c r="M47" s="186"/>
    </row>
    <row r="48" spans="1:13" ht="12.75">
      <c r="A48" s="182">
        <f t="shared" si="3"/>
        <v>0</v>
      </c>
      <c r="B48" s="182"/>
      <c r="C48" s="182"/>
      <c r="D48" s="182"/>
      <c r="E48" s="182"/>
      <c r="F48" s="186"/>
      <c r="G48" s="186"/>
      <c r="H48" s="186"/>
      <c r="I48" s="186"/>
      <c r="J48" s="186"/>
      <c r="K48" s="186"/>
      <c r="L48" s="186"/>
      <c r="M48" s="186"/>
    </row>
    <row r="49" spans="1:13" ht="12.75">
      <c r="A49" s="182">
        <f t="shared" si="3"/>
        <v>0</v>
      </c>
      <c r="B49" s="182"/>
      <c r="C49" s="182"/>
      <c r="D49" s="182"/>
      <c r="E49" s="182"/>
      <c r="F49" s="186"/>
      <c r="G49" s="186"/>
      <c r="H49" s="186"/>
      <c r="I49" s="186"/>
      <c r="J49" s="186"/>
      <c r="K49" s="186"/>
      <c r="L49" s="186"/>
      <c r="M49" s="186"/>
    </row>
    <row r="50" spans="1:13" ht="12.75">
      <c r="A50" s="182">
        <f t="shared" si="3"/>
        <v>0</v>
      </c>
      <c r="B50" s="182"/>
      <c r="C50" s="182"/>
      <c r="D50" s="182"/>
      <c r="E50" s="182"/>
      <c r="F50" s="186"/>
      <c r="G50" s="186"/>
      <c r="H50" s="186"/>
      <c r="I50" s="186"/>
      <c r="J50" s="186"/>
      <c r="K50" s="186"/>
      <c r="L50" s="186"/>
      <c r="M50" s="186"/>
    </row>
    <row r="51" spans="1:13" ht="12.75">
      <c r="A51" s="182">
        <f t="shared" si="3"/>
        <v>0</v>
      </c>
      <c r="B51" s="182"/>
      <c r="C51" s="182"/>
      <c r="D51" s="182"/>
      <c r="E51" s="182"/>
      <c r="F51" s="186"/>
      <c r="G51" s="186"/>
      <c r="H51" s="186"/>
      <c r="I51" s="186"/>
      <c r="J51" s="186"/>
      <c r="K51" s="186"/>
      <c r="L51" s="186"/>
      <c r="M51" s="186"/>
    </row>
    <row r="52" spans="1:13" ht="12.75">
      <c r="A52" s="182">
        <f t="shared" si="3"/>
        <v>0</v>
      </c>
      <c r="B52" s="182"/>
      <c r="C52" s="182"/>
      <c r="D52" s="182"/>
      <c r="E52" s="182"/>
      <c r="F52" s="186"/>
      <c r="G52" s="186"/>
      <c r="H52" s="186"/>
      <c r="I52" s="186"/>
      <c r="J52" s="186"/>
      <c r="K52" s="186"/>
      <c r="L52" s="186"/>
      <c r="M52" s="186"/>
    </row>
    <row r="53" spans="1:13" ht="12.75">
      <c r="A53" s="182"/>
      <c r="B53" s="182"/>
      <c r="C53" s="182"/>
      <c r="D53" s="182"/>
      <c r="E53" s="182"/>
      <c r="F53" s="186"/>
      <c r="G53" s="186"/>
      <c r="H53" s="186"/>
      <c r="I53" s="186"/>
      <c r="J53" s="186"/>
      <c r="K53" s="186"/>
      <c r="L53" s="186"/>
      <c r="M53" s="186"/>
    </row>
    <row r="54" spans="1:13" ht="12.75">
      <c r="A54" s="182"/>
      <c r="B54" s="182"/>
      <c r="C54" s="182"/>
      <c r="D54" s="182"/>
      <c r="E54" s="182"/>
      <c r="F54" s="186"/>
      <c r="G54" s="186"/>
      <c r="H54" s="186"/>
      <c r="I54" s="186"/>
      <c r="J54" s="186"/>
      <c r="K54" s="186"/>
      <c r="L54" s="186"/>
      <c r="M54" s="186"/>
    </row>
    <row r="55" spans="1:13" ht="12.75">
      <c r="A55" s="182"/>
      <c r="B55" s="182"/>
      <c r="C55" s="182"/>
      <c r="D55" s="182"/>
      <c r="E55" s="182"/>
      <c r="F55" s="182"/>
      <c r="G55" s="186"/>
      <c r="H55" s="186"/>
      <c r="I55" s="186"/>
      <c r="J55" s="186"/>
      <c r="K55" s="186"/>
      <c r="L55" s="186"/>
      <c r="M55" s="186"/>
    </row>
    <row r="56" spans="1:13" ht="12.75">
      <c r="A56" s="182"/>
      <c r="B56" s="182"/>
      <c r="C56" s="182"/>
      <c r="D56" s="182"/>
      <c r="E56" s="182"/>
      <c r="F56" s="182"/>
      <c r="G56" s="186"/>
      <c r="H56" s="186"/>
      <c r="I56" s="186"/>
      <c r="J56" s="186"/>
      <c r="K56" s="186"/>
      <c r="L56" s="186"/>
      <c r="M56" s="186"/>
    </row>
    <row r="57" spans="1:13" ht="12.75">
      <c r="A57" s="182"/>
      <c r="B57" s="182"/>
      <c r="C57" s="182"/>
      <c r="D57" s="182"/>
      <c r="E57" s="182"/>
      <c r="F57" s="182"/>
      <c r="G57" s="186"/>
      <c r="H57" s="186"/>
      <c r="I57" s="186"/>
      <c r="J57" s="186"/>
      <c r="K57" s="186"/>
      <c r="L57" s="186"/>
      <c r="M57" s="186"/>
    </row>
    <row r="58" spans="1:13" ht="12.75">
      <c r="A58" s="182"/>
      <c r="B58" s="182"/>
      <c r="C58" s="182"/>
      <c r="D58" s="182"/>
      <c r="E58" s="182"/>
      <c r="F58" s="182"/>
      <c r="G58" s="186"/>
      <c r="H58" s="186"/>
      <c r="I58" s="186"/>
      <c r="J58" s="186"/>
      <c r="K58" s="186"/>
      <c r="L58" s="186"/>
      <c r="M58" s="186"/>
    </row>
    <row r="59" spans="1:13" ht="12.75">
      <c r="A59" s="182"/>
      <c r="B59" s="182"/>
      <c r="C59" s="182"/>
      <c r="D59" s="182"/>
      <c r="E59" s="182"/>
      <c r="F59" s="182"/>
      <c r="G59" s="186"/>
      <c r="H59" s="186"/>
      <c r="I59" s="186"/>
      <c r="J59" s="186"/>
      <c r="K59" s="186"/>
      <c r="L59" s="186"/>
      <c r="M59" s="186"/>
    </row>
    <row r="60" spans="1:13" ht="12.75">
      <c r="A60" s="182"/>
      <c r="B60" s="182"/>
      <c r="C60" s="182"/>
      <c r="D60" s="182"/>
      <c r="E60" s="182"/>
      <c r="F60" s="182"/>
      <c r="G60" s="186"/>
      <c r="H60" s="186"/>
      <c r="I60" s="186"/>
      <c r="J60" s="186"/>
      <c r="K60" s="186"/>
      <c r="L60" s="186"/>
      <c r="M60" s="186"/>
    </row>
    <row r="61" spans="1:13" ht="12.75">
      <c r="A61" s="182"/>
      <c r="B61" s="182"/>
      <c r="C61" s="182"/>
      <c r="D61" s="182"/>
      <c r="E61" s="182"/>
      <c r="F61" s="182"/>
      <c r="G61" s="186"/>
      <c r="H61" s="186"/>
      <c r="I61" s="186"/>
      <c r="J61" s="186"/>
      <c r="K61" s="186"/>
      <c r="L61" s="186"/>
      <c r="M61" s="186"/>
    </row>
    <row r="62" spans="1:13" ht="12.75">
      <c r="A62" s="182"/>
      <c r="B62" s="182"/>
      <c r="C62" s="182"/>
      <c r="D62" s="182"/>
      <c r="E62" s="182"/>
      <c r="F62" s="182"/>
      <c r="G62" s="186"/>
      <c r="H62" s="186"/>
      <c r="I62" s="186"/>
      <c r="J62" s="186"/>
      <c r="K62" s="186"/>
      <c r="L62" s="186"/>
      <c r="M62" s="186"/>
    </row>
    <row r="63" spans="1:13" ht="12.75">
      <c r="A63" s="182"/>
      <c r="B63" s="182"/>
      <c r="C63" s="182"/>
      <c r="D63" s="182"/>
      <c r="E63" s="182"/>
      <c r="F63" s="182"/>
      <c r="G63" s="186"/>
      <c r="H63" s="186"/>
      <c r="I63" s="186"/>
      <c r="J63" s="186"/>
      <c r="K63" s="186"/>
      <c r="L63" s="186"/>
      <c r="M63" s="186"/>
    </row>
    <row r="64" spans="1:13" ht="12.75">
      <c r="A64" s="182"/>
      <c r="B64" s="182"/>
      <c r="C64" s="182"/>
      <c r="D64" s="182"/>
      <c r="E64" s="182"/>
      <c r="F64" s="182"/>
      <c r="G64" s="186"/>
      <c r="H64" s="186"/>
      <c r="I64" s="186"/>
      <c r="J64" s="186"/>
      <c r="K64" s="186"/>
      <c r="L64" s="186"/>
      <c r="M64" s="186"/>
    </row>
    <row r="65" spans="1:13" ht="12.75">
      <c r="A65" s="182"/>
      <c r="B65" s="182"/>
      <c r="C65" s="182"/>
      <c r="D65" s="182"/>
      <c r="E65" s="182"/>
      <c r="F65" s="182"/>
      <c r="G65" s="186"/>
      <c r="H65" s="186"/>
      <c r="I65" s="186"/>
      <c r="J65" s="186"/>
      <c r="K65" s="186"/>
      <c r="L65" s="186"/>
      <c r="M65" s="186"/>
    </row>
    <row r="66" spans="1:13" ht="12.75">
      <c r="A66" s="182"/>
      <c r="B66" s="182"/>
      <c r="C66" s="182"/>
      <c r="D66" s="182"/>
      <c r="E66" s="182"/>
      <c r="F66" s="182"/>
      <c r="G66" s="186"/>
      <c r="H66" s="186"/>
      <c r="I66" s="186"/>
      <c r="J66" s="186"/>
      <c r="K66" s="186"/>
      <c r="L66" s="186"/>
      <c r="M66" s="186"/>
    </row>
    <row r="67" spans="1:13" ht="12.75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 ht="12.75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</sheetData>
  <sheetProtection/>
  <mergeCells count="8">
    <mergeCell ref="O8:O16"/>
    <mergeCell ref="A9:A12"/>
    <mergeCell ref="G30:H30"/>
    <mergeCell ref="G26:H26"/>
    <mergeCell ref="G27:H27"/>
    <mergeCell ref="G28:H28"/>
    <mergeCell ref="G29:H29"/>
    <mergeCell ref="A13:A24"/>
  </mergeCells>
  <conditionalFormatting sqref="A13:A24">
    <cfRule type="expression" priority="1" dxfId="95" stopIfTrue="1">
      <formula>A36=2</formula>
    </cfRule>
  </conditionalFormatting>
  <conditionalFormatting sqref="O8:O16">
    <cfRule type="expression" priority="2" dxfId="93" stopIfTrue="1">
      <formula>$B$36&gt;1</formula>
    </cfRule>
  </conditionalFormatting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BV49"/>
  <sheetViews>
    <sheetView showGridLines="0" tabSelected="1" showOutlineSymbols="0" zoomScale="110" zoomScaleNormal="110" workbookViewId="0" topLeftCell="A1">
      <selection activeCell="M12" sqref="M12"/>
    </sheetView>
  </sheetViews>
  <sheetFormatPr defaultColWidth="11.421875" defaultRowHeight="12.75"/>
  <cols>
    <col min="1" max="1" width="2.421875" style="47" customWidth="1"/>
    <col min="2" max="2" width="4.7109375" style="47" bestFit="1" customWidth="1"/>
    <col min="3" max="3" width="2.57421875" style="47" bestFit="1" customWidth="1"/>
    <col min="4" max="4" width="20.8515625" style="47" customWidth="1"/>
    <col min="5" max="5" width="19.57421875" style="47" customWidth="1"/>
    <col min="6" max="7" width="4.28125" style="48" customWidth="1"/>
    <col min="8" max="9" width="4.7109375" style="48" hidden="1" customWidth="1"/>
    <col min="10" max="11" width="4.57421875" style="48" hidden="1" customWidth="1"/>
    <col min="12" max="12" width="4.28125" style="165" bestFit="1" customWidth="1"/>
    <col min="13" max="13" width="22.140625" style="127" customWidth="1"/>
    <col min="14" max="15" width="4.421875" style="47" hidden="1" customWidth="1"/>
    <col min="16" max="17" width="4.28125" style="47" hidden="1" customWidth="1"/>
    <col min="18" max="19" width="4.421875" style="47" hidden="1" customWidth="1"/>
    <col min="20" max="21" width="3.28125" style="47" hidden="1" customWidth="1"/>
    <col min="22" max="22" width="3.00390625" style="47" hidden="1" customWidth="1"/>
    <col min="23" max="23" width="18.8515625" style="47" hidden="1" customWidth="1"/>
    <col min="24" max="24" width="3.8515625" style="47" hidden="1" customWidth="1"/>
    <col min="25" max="26" width="2.8515625" style="47" hidden="1" customWidth="1"/>
    <col min="27" max="27" width="3.57421875" style="47" hidden="1" customWidth="1"/>
    <col min="28" max="28" width="4.28125" style="47" hidden="1" customWidth="1"/>
    <col min="29" max="29" width="4.7109375" style="47" hidden="1" customWidth="1"/>
    <col min="30" max="30" width="4.57421875" style="47" hidden="1" customWidth="1"/>
    <col min="31" max="31" width="5.00390625" style="47" hidden="1" customWidth="1"/>
    <col min="32" max="32" width="3.7109375" style="47" hidden="1" customWidth="1"/>
    <col min="33" max="33" width="6.57421875" style="47" hidden="1" customWidth="1"/>
    <col min="34" max="34" width="5.57421875" style="47" hidden="1" customWidth="1"/>
    <col min="35" max="35" width="6.28125" style="47" hidden="1" customWidth="1"/>
    <col min="36" max="36" width="3.421875" style="47" hidden="1" customWidth="1"/>
    <col min="37" max="37" width="2.00390625" style="47" hidden="1" customWidth="1"/>
    <col min="38" max="38" width="1.7109375" style="47" hidden="1" customWidth="1"/>
    <col min="39" max="39" width="8.57421875" style="47" hidden="1" customWidth="1"/>
    <col min="40" max="40" width="3.421875" style="121" hidden="1" customWidth="1"/>
    <col min="41" max="41" width="7.57421875" style="47" customWidth="1"/>
    <col min="42" max="42" width="5.57421875" style="121" hidden="1" customWidth="1"/>
    <col min="43" max="43" width="6.7109375" style="169" bestFit="1" customWidth="1"/>
    <col min="44" max="44" width="7.421875" style="169" customWidth="1"/>
    <col min="45" max="45" width="7.00390625" style="170" customWidth="1"/>
    <col min="46" max="16384" width="11.421875" style="47" customWidth="1"/>
  </cols>
  <sheetData>
    <row r="1" spans="3:45" s="245" customFormat="1" ht="18.75" thickBot="1">
      <c r="C1" s="245">
        <f>Auslosung_Turnierdaten!G26</f>
        <v>0</v>
      </c>
      <c r="F1" s="246"/>
      <c r="G1" s="246"/>
      <c r="H1" s="246"/>
      <c r="I1" s="246"/>
      <c r="J1" s="246"/>
      <c r="K1" s="246"/>
      <c r="L1" s="247"/>
      <c r="M1" s="248"/>
      <c r="AN1" s="249"/>
      <c r="AP1" s="249"/>
      <c r="AQ1" s="250"/>
      <c r="AR1" s="250"/>
      <c r="AS1" s="251"/>
    </row>
    <row r="2" spans="3:45" ht="11.25" thickBot="1">
      <c r="C2" s="49"/>
      <c r="D2" s="50" t="s">
        <v>13</v>
      </c>
      <c r="E2" s="51" t="s">
        <v>14</v>
      </c>
      <c r="F2" s="128" t="s">
        <v>90</v>
      </c>
      <c r="G2" s="129" t="s">
        <v>15</v>
      </c>
      <c r="H2" s="130" t="s">
        <v>16</v>
      </c>
      <c r="I2" s="130" t="s">
        <v>17</v>
      </c>
      <c r="J2" s="130" t="s">
        <v>18</v>
      </c>
      <c r="K2" s="131" t="s">
        <v>19</v>
      </c>
      <c r="L2" s="183" t="s">
        <v>46</v>
      </c>
      <c r="M2" s="142" t="str">
        <f>"Freie Tische"&amp;" -"&amp;Auslosung_Turnierdaten!N9&amp;Auslosung_Turnierdaten!N10&amp;Auslosung_Turnierdaten!N11&amp;Auslosung_Turnierdaten!N12&amp;Auslosung_Turnierdaten!N13&amp;Auslosung_Turnierdaten!N14&amp;Auslosung_Turnierdaten!N15&amp;Auslosung_Turnierdaten!N16</f>
        <v>Freie Tische -</v>
      </c>
      <c r="N2" s="47" t="s">
        <v>20</v>
      </c>
      <c r="O2" s="47" t="s">
        <v>20</v>
      </c>
      <c r="P2" s="47" t="s">
        <v>21</v>
      </c>
      <c r="Q2" s="47" t="s">
        <v>22</v>
      </c>
      <c r="R2" s="47" t="s">
        <v>23</v>
      </c>
      <c r="S2" s="47" t="s">
        <v>24</v>
      </c>
      <c r="T2" s="47" t="s">
        <v>25</v>
      </c>
      <c r="U2" s="47" t="s">
        <v>26</v>
      </c>
      <c r="V2" s="47" t="s">
        <v>27</v>
      </c>
      <c r="W2" s="47" t="s">
        <v>28</v>
      </c>
      <c r="X2" s="47" t="s">
        <v>29</v>
      </c>
      <c r="Y2" s="47" t="s">
        <v>30</v>
      </c>
      <c r="Z2" s="47" t="s">
        <v>11</v>
      </c>
      <c r="AA2" s="47" t="s">
        <v>12</v>
      </c>
      <c r="AB2" s="47" t="s">
        <v>31</v>
      </c>
      <c r="AC2" s="47" t="s">
        <v>32</v>
      </c>
      <c r="AD2" s="47" t="s">
        <v>33</v>
      </c>
      <c r="AE2" s="47" t="s">
        <v>34</v>
      </c>
      <c r="AF2" s="47" t="s">
        <v>35</v>
      </c>
      <c r="AG2" s="47" t="s">
        <v>36</v>
      </c>
      <c r="AH2" s="47" t="s">
        <v>37</v>
      </c>
      <c r="AI2" s="47" t="s">
        <v>38</v>
      </c>
      <c r="AJ2" s="47" t="s">
        <v>106</v>
      </c>
      <c r="AO2" s="132"/>
      <c r="AQ2" s="171" t="s">
        <v>103</v>
      </c>
      <c r="AR2" s="171" t="s">
        <v>102</v>
      </c>
      <c r="AS2" s="171" t="s">
        <v>104</v>
      </c>
    </row>
    <row r="3" spans="2:74" ht="9" customHeight="1" thickBot="1">
      <c r="B3" s="52" t="s">
        <v>40</v>
      </c>
      <c r="C3" s="53">
        <v>1</v>
      </c>
      <c r="D3" s="54" t="str">
        <f>IF(W3="Freilos","Freilos",IF(W3="","Spieler 1",W3))</f>
        <v>Freilos</v>
      </c>
      <c r="E3" s="55" t="str">
        <f>IF(W11="Freilos","Freilos",IF(W11="","Spieler 9",W11))</f>
        <v>Freilos</v>
      </c>
      <c r="F3" s="56"/>
      <c r="G3" s="57"/>
      <c r="H3" s="58"/>
      <c r="I3" s="57"/>
      <c r="J3" s="56"/>
      <c r="K3" s="59"/>
      <c r="L3" s="166"/>
      <c r="M3" s="141"/>
      <c r="N3" s="47">
        <f aca="true" t="shared" si="0" ref="N3:N30">F3+G3</f>
        <v>0</v>
      </c>
      <c r="O3" s="47">
        <f aca="true" t="shared" si="1" ref="O3:O30">N3</f>
        <v>0</v>
      </c>
      <c r="P3" s="47">
        <f aca="true" t="shared" si="2" ref="P3:P22">IF(E3="Freilos",0,IF(F3&lt;G3,1,IF(F3&gt;G3,1,0)))</f>
        <v>0</v>
      </c>
      <c r="Q3" s="47">
        <f aca="true" t="shared" si="3" ref="Q3:Q22">IF(D3="Freilos",0,IF(F3&lt;G3,1,IF(F3&gt;G3,1,0)))</f>
        <v>0</v>
      </c>
      <c r="R3" s="47">
        <f aca="true" t="shared" si="4" ref="R3:R22">IF(E3="Freilos",0,IF(F3&gt;G3,1,0))</f>
        <v>0</v>
      </c>
      <c r="S3" s="47">
        <f aca="true" t="shared" si="5" ref="S3:S22">IF(D3="Freilos",0,IF(G3&gt;F3,1,0))</f>
        <v>0</v>
      </c>
      <c r="T3" s="133">
        <f>IF(E3="Freilos",3,IF(F3&gt;G3,3,0))</f>
        <v>3</v>
      </c>
      <c r="U3" s="133">
        <f>IF(D3="Freilos",3,IF(G3&gt;F3,3,0))</f>
        <v>3</v>
      </c>
      <c r="V3" s="47">
        <v>1</v>
      </c>
      <c r="W3" s="47" t="str">
        <f>IF(Auslosung_Turnierdaten!F9="","Spieler 1",Auslosung_Turnierdaten!F9)</f>
        <v>Freilos</v>
      </c>
      <c r="X3" s="47">
        <f aca="true" t="shared" si="6" ref="X3:X18">IF(W3="Freilos",0,SUMIF($D$3:$E$43,W3,$T$3:$U$33))</f>
        <v>0</v>
      </c>
      <c r="Y3" s="47">
        <f aca="true" t="shared" si="7" ref="Y3:Y18">SUMIF($D$3:$E$43,W3,$P$3:$Q$33)</f>
        <v>0</v>
      </c>
      <c r="Z3" s="47">
        <f aca="true" t="shared" si="8" ref="Z3:Z18">SUMIF($D$3:$E$43,W3,$R$3:$S$33)</f>
        <v>0</v>
      </c>
      <c r="AA3" s="47">
        <f>Y3-Z3</f>
        <v>0</v>
      </c>
      <c r="AB3" s="47">
        <f aca="true" t="shared" si="9" ref="AB3:AB18">SUMIF($D$3:$E$43,W3,$N$3:$O$33)</f>
        <v>0</v>
      </c>
      <c r="AC3" s="47">
        <f aca="true" t="shared" si="10" ref="AC3:AC18">SUMIF($D$3:$E$43,W3,$F$3:$G$33)</f>
        <v>0</v>
      </c>
      <c r="AD3" s="47">
        <f>AB3-AC3</f>
        <v>0</v>
      </c>
      <c r="AE3" s="134">
        <f>IF(AD3&gt;0,AC3/AD3,AC3*1.000000001)</f>
        <v>0</v>
      </c>
      <c r="AF3" s="47">
        <f aca="true" t="shared" si="11" ref="AF3:AF18">SUMIF($D$3:$E$43,W3,$H$3:$I$33)</f>
        <v>0</v>
      </c>
      <c r="AG3" s="134">
        <f>IF(AF3&gt;0,AC3/AF3,0)</f>
        <v>0</v>
      </c>
      <c r="AH3" s="134">
        <f aca="true" t="shared" si="12" ref="AH3:AH18">MAX(AJ3:AK3)</f>
        <v>0</v>
      </c>
      <c r="AI3" s="47">
        <f aca="true" t="shared" si="13" ref="AI3:AI18">MAX(SUMIF($D$3:$E$10,W3,$J$3:$K$10),SUMIF($D$11:$E$18,W3,$J$11:$K$18),SUMIF($D$19:$E$22,W3,$J$19:$K$22),SUMIF($D$23:$E$36,W3,$J$23:$K$26),SUMIF($D$37:$E$38,W3,$J$27:$K$28),SUMIF($D$39:$E$40,W3,$J$29:$K$30),SUMIF($D$41:$E$41,W3,$J$31:$K$31),SUMIF($D$42:$E$42,W3,$J$32:$K$32),SUMIF($D$43:$E$43,W3,$J$33:$K$33))</f>
        <v>0</v>
      </c>
      <c r="AJ3" s="47">
        <f aca="true" t="shared" si="14" ref="AJ3:AJ18">MAX(IF(AND(SUMIF($D$3:$E$10,W3,$H$3:$I$10)&gt;0,SUMIF($D$3:$E$10,W3,$R$3:$S$10)&gt;0),SUMIF($D$3:$E$10,W3,$F$3:$G$10)/SUMIF($D$3:$E$10,W3,$H$3:$I$10),0),IF(AND(SUMIF($D$11:$E$18,W3,$H$11:$I$18)&gt;0,SUMIF($D$11:$E$18,W3,$R$11:$S$18)&gt;0),SUMIF($D$11:$E$18,W3,$F$11:$G$18)/SUMIF($D$11:$E$18,W3,$H$11:$I$18),0),IF(AND(SUMIF($D$19:$E$22,W3,$H$19:$I$22)&gt;0,SUMIF($D$19:$E$22,W3,$R$19:$S$22)&gt;0),SUMIF($D$19:$E$22,W3,$F$19:$G$22)/SUMIF($D$19:$E$22,W3,$H$19:$I$22),0),IF(AND(SUMIF($D$23:$E$36,W3,$H$23:$I$26)&gt;0,SUMIF($D$23:$E$36,W3,$R$23:$S$26)&gt;0),SUMIF($D$23:$E$36,W3,$F$23:$G$26)/SUMIF($D$23:$E$36,W3,$H$23:$I$26),0),IF(AND(SUMIF($D$37:$E$38,W3,$H$27:$I$28)&gt;0,SUMIF($D$37:$E$38,W3,$R$27:$S$28)&gt;0),SUMIF($D$37:$E$38,W3,$F$27:$G$28)/SUMIF($D$37:$E$38,W3,$H$27:$I$28),0),IF(AND(SUMIF($D$39:$E$40,W3,$H$29:$I$30)&gt;0,SUMIF($D$39:$E$40,W3,$R$29:$S$30)&gt;0),SUMIF($D$39:$E$40,W3,$F$29:$G$30)/SUMIF($D$39:$E$40,W3,$H$29:$I$30),0))</f>
        <v>0</v>
      </c>
      <c r="AK3" s="47">
        <f aca="true" t="shared" si="15" ref="AK3:AK18">MAX(IF(AND(SUMIF($D$41:$E$41,W3,$H$31:$I$31)&gt;0,SUMIF($D$41:$E$41,W3,$R$31:$S$31)&gt;0),SUMIF($D$41:$E$41,W3,$F$31:$G$31)/SUMIF($D$41:$E$41,W3,$H$31:$I$31),0),IF(AND(SUMIF($D$42:$E$42,W3,$H$32:$I$32)&gt;0,SUMIF($D$42:$E$42,W3,$R$32:$S$32)&gt;0),SUMIF($D$42:$E$42,W3,$F$32:$G$32)/SUMIF($D$42:$E$42,W3,$H$32:$I$32),0),IF(AND(SUMIF($D$43:$E$43,W3,$H$33:$I$33)&gt;0,SUMIF($D$43:$E$43,W3,$R$33:$S$33)&gt;0),SUMIF($D$43:$E$43,W3,$F$33:$G$33)/SUMIF($D$43:$E$43,W3,$H$33:$I$33),0))</f>
        <v>0</v>
      </c>
      <c r="AL3" s="47">
        <f aca="true" t="shared" si="16" ref="AL3:AL18">SUMIF($D$43:$E$43,W3,$J$33:$K$33)</f>
        <v>0</v>
      </c>
      <c r="AN3" s="121">
        <f>IF(T3+U3&gt;0,"",L3)</f>
      </c>
      <c r="AO3" s="135"/>
      <c r="AP3" s="121">
        <f>IF(OR(D3="Freilos",E3="Freilos"),1,"")</f>
        <v>1</v>
      </c>
      <c r="AQ3" s="172"/>
      <c r="AR3" s="173"/>
      <c r="AS3" s="174">
        <f>IF(AR3&gt;AQ3,IF(AND(AP3="",AR3=""),"",AR3-AQ3),"")</f>
      </c>
      <c r="BV3" s="181">
        <v>0.6395717592592592</v>
      </c>
    </row>
    <row r="4" spans="3:45" ht="11.25" thickBot="1">
      <c r="C4" s="61">
        <v>2</v>
      </c>
      <c r="D4" s="62" t="str">
        <f>IF(W7="Freilos","Freilos",IF(W7="","Spieler 5",W7))</f>
        <v>Freilos</v>
      </c>
      <c r="E4" s="63" t="str">
        <f>IF(W15="Freilos","Freilos",IF(W15="","Spieler 13",W15))</f>
        <v>Freilos</v>
      </c>
      <c r="F4" s="64"/>
      <c r="G4" s="65"/>
      <c r="H4" s="66"/>
      <c r="I4" s="65"/>
      <c r="J4" s="64"/>
      <c r="K4" s="67"/>
      <c r="L4" s="167"/>
      <c r="M4" s="60"/>
      <c r="N4" s="47">
        <f t="shared" si="0"/>
        <v>0</v>
      </c>
      <c r="O4" s="47">
        <f t="shared" si="1"/>
        <v>0</v>
      </c>
      <c r="P4" s="47">
        <f t="shared" si="2"/>
        <v>0</v>
      </c>
      <c r="Q4" s="47">
        <f t="shared" si="3"/>
        <v>0</v>
      </c>
      <c r="R4" s="47">
        <f t="shared" si="4"/>
        <v>0</v>
      </c>
      <c r="S4" s="47">
        <f t="shared" si="5"/>
        <v>0</v>
      </c>
      <c r="T4" s="47">
        <f aca="true" t="shared" si="17" ref="T4:T14">IF(E4="Freilos",3,IF(F4&gt;G4,3,0))</f>
        <v>3</v>
      </c>
      <c r="U4" s="133">
        <f aca="true" t="shared" si="18" ref="U4:U14">IF(D4="Freilos",3,IF(G4&gt;F4,3,0))</f>
        <v>3</v>
      </c>
      <c r="V4" s="47">
        <v>2</v>
      </c>
      <c r="W4" s="47" t="str">
        <f>IF(Auslosung_Turnierdaten!F10="","Spieler 2",Auslosung_Turnierdaten!F10)</f>
        <v>Freilos</v>
      </c>
      <c r="X4" s="47">
        <f t="shared" si="6"/>
        <v>0</v>
      </c>
      <c r="Y4" s="47">
        <f t="shared" si="7"/>
        <v>0</v>
      </c>
      <c r="Z4" s="47">
        <f t="shared" si="8"/>
        <v>0</v>
      </c>
      <c r="AA4" s="47">
        <f aca="true" t="shared" si="19" ref="AA4:AA18">Y4-Z4</f>
        <v>0</v>
      </c>
      <c r="AB4" s="47">
        <f t="shared" si="9"/>
        <v>0</v>
      </c>
      <c r="AC4" s="47">
        <f t="shared" si="10"/>
        <v>0</v>
      </c>
      <c r="AD4" s="47">
        <f aca="true" t="shared" si="20" ref="AD4:AD18">AB4-AC4</f>
        <v>0</v>
      </c>
      <c r="AE4" s="134">
        <f aca="true" t="shared" si="21" ref="AE4:AE18">IF(AD4&gt;0,AC4/AD4,AC4*1.000000001)</f>
        <v>0</v>
      </c>
      <c r="AF4" s="47">
        <f t="shared" si="11"/>
        <v>0</v>
      </c>
      <c r="AG4" s="134">
        <f aca="true" t="shared" si="22" ref="AG4:AG18">IF(AF4&gt;0,AC4/AF4,0)</f>
        <v>0</v>
      </c>
      <c r="AH4" s="134">
        <f t="shared" si="12"/>
        <v>0</v>
      </c>
      <c r="AI4" s="47">
        <f t="shared" si="13"/>
        <v>0</v>
      </c>
      <c r="AJ4" s="47">
        <f t="shared" si="14"/>
        <v>0</v>
      </c>
      <c r="AK4" s="47">
        <f t="shared" si="15"/>
        <v>0</v>
      </c>
      <c r="AL4" s="47">
        <f t="shared" si="16"/>
        <v>0</v>
      </c>
      <c r="AN4" s="121">
        <f aca="true" t="shared" si="23" ref="AN4:AN34">IF(T4+U4&gt;0,"",L4)</f>
      </c>
      <c r="AO4" s="135"/>
      <c r="AP4" s="121">
        <f aca="true" t="shared" si="24" ref="AP4:AP22">IF(OR(D4="Freilos",E4="Freilos"),1,"")</f>
        <v>1</v>
      </c>
      <c r="AQ4" s="172"/>
      <c r="AR4" s="173"/>
      <c r="AS4" s="174">
        <f aca="true" t="shared" si="25" ref="AS4:AS33">IF(AR4&gt;AQ4,IF(AND(AP4="",AR4=""),"",AR4-AQ4),"")</f>
      </c>
    </row>
    <row r="5" spans="3:64" ht="10.5">
      <c r="C5" s="61">
        <v>3</v>
      </c>
      <c r="D5" s="62" t="str">
        <f>IF(W5="Freilos","Freilos",IF(W5="","Spieler 3",W5))</f>
        <v>Freilos</v>
      </c>
      <c r="E5" s="63" t="str">
        <f>IF(W13="Freilos","Freilos",IF(W13="","Spieler 11",W13))</f>
        <v>Freilos</v>
      </c>
      <c r="F5" s="64"/>
      <c r="G5" s="65"/>
      <c r="H5" s="66"/>
      <c r="I5" s="65"/>
      <c r="J5" s="64"/>
      <c r="K5" s="67"/>
      <c r="L5" s="167"/>
      <c r="M5" s="68" t="s">
        <v>80</v>
      </c>
      <c r="N5" s="47">
        <f t="shared" si="0"/>
        <v>0</v>
      </c>
      <c r="O5" s="47">
        <f t="shared" si="1"/>
        <v>0</v>
      </c>
      <c r="P5" s="47">
        <f t="shared" si="2"/>
        <v>0</v>
      </c>
      <c r="Q5" s="47">
        <f t="shared" si="3"/>
        <v>0</v>
      </c>
      <c r="R5" s="47">
        <f t="shared" si="4"/>
        <v>0</v>
      </c>
      <c r="S5" s="47">
        <f t="shared" si="5"/>
        <v>0</v>
      </c>
      <c r="T5" s="47">
        <f t="shared" si="17"/>
        <v>3</v>
      </c>
      <c r="U5" s="133">
        <f t="shared" si="18"/>
        <v>3</v>
      </c>
      <c r="V5" s="47">
        <v>3</v>
      </c>
      <c r="W5" s="47" t="str">
        <f>IF(Auslosung_Turnierdaten!F11="","Spieler 3",Auslosung_Turnierdaten!F11)</f>
        <v>Freilos</v>
      </c>
      <c r="X5" s="47">
        <f t="shared" si="6"/>
        <v>0</v>
      </c>
      <c r="Y5" s="47">
        <f t="shared" si="7"/>
        <v>0</v>
      </c>
      <c r="Z5" s="47">
        <f t="shared" si="8"/>
        <v>0</v>
      </c>
      <c r="AA5" s="47">
        <f t="shared" si="19"/>
        <v>0</v>
      </c>
      <c r="AB5" s="47">
        <f t="shared" si="9"/>
        <v>0</v>
      </c>
      <c r="AC5" s="47">
        <f t="shared" si="10"/>
        <v>0</v>
      </c>
      <c r="AD5" s="47">
        <f t="shared" si="20"/>
        <v>0</v>
      </c>
      <c r="AE5" s="134">
        <f t="shared" si="21"/>
        <v>0</v>
      </c>
      <c r="AF5" s="47">
        <f t="shared" si="11"/>
        <v>0</v>
      </c>
      <c r="AG5" s="134">
        <f t="shared" si="22"/>
        <v>0</v>
      </c>
      <c r="AH5" s="134">
        <f t="shared" si="12"/>
        <v>0</v>
      </c>
      <c r="AI5" s="47">
        <f t="shared" si="13"/>
        <v>0</v>
      </c>
      <c r="AJ5" s="47">
        <f t="shared" si="14"/>
        <v>0</v>
      </c>
      <c r="AK5" s="47">
        <f t="shared" si="15"/>
        <v>0</v>
      </c>
      <c r="AL5" s="47">
        <f t="shared" si="16"/>
        <v>0</v>
      </c>
      <c r="AN5" s="121">
        <f t="shared" si="23"/>
      </c>
      <c r="AO5" s="135"/>
      <c r="AP5" s="121">
        <f t="shared" si="24"/>
        <v>1</v>
      </c>
      <c r="AQ5" s="172"/>
      <c r="AR5" s="173"/>
      <c r="AS5" s="174">
        <f t="shared" si="25"/>
      </c>
      <c r="BL5" s="47">
        <f>IF(AND(COUNTIF(L3:L3:L3:$L$33,L3)=1,F3+G3&gt;0),L3&amp;"-","")</f>
      </c>
    </row>
    <row r="6" spans="3:64" ht="10.5">
      <c r="C6" s="61">
        <v>4</v>
      </c>
      <c r="D6" s="62" t="str">
        <f>IF(W9="Freilos","Freilos",IF(W9="","Spieler 7",W9))</f>
        <v>Freilos</v>
      </c>
      <c r="E6" s="63" t="str">
        <f>IF(W17="Freilos","Freilos",IF(W17="","Spieler 15",W17))</f>
        <v>Freilos</v>
      </c>
      <c r="F6" s="64"/>
      <c r="G6" s="65"/>
      <c r="H6" s="66"/>
      <c r="I6" s="65"/>
      <c r="J6" s="64"/>
      <c r="K6" s="67"/>
      <c r="L6" s="167"/>
      <c r="M6" s="136" t="s">
        <v>81</v>
      </c>
      <c r="N6" s="47">
        <f t="shared" si="0"/>
        <v>0</v>
      </c>
      <c r="O6" s="47">
        <f t="shared" si="1"/>
        <v>0</v>
      </c>
      <c r="P6" s="47">
        <f t="shared" si="2"/>
        <v>0</v>
      </c>
      <c r="Q6" s="47">
        <f t="shared" si="3"/>
        <v>0</v>
      </c>
      <c r="R6" s="47">
        <f t="shared" si="4"/>
        <v>0</v>
      </c>
      <c r="S6" s="47">
        <f t="shared" si="5"/>
        <v>0</v>
      </c>
      <c r="T6" s="47">
        <f t="shared" si="17"/>
        <v>3</v>
      </c>
      <c r="U6" s="133">
        <f t="shared" si="18"/>
        <v>3</v>
      </c>
      <c r="V6" s="47">
        <v>4</v>
      </c>
      <c r="W6" s="47" t="str">
        <f>IF(Auslosung_Turnierdaten!F12="","Spieler 4",Auslosung_Turnierdaten!F12)</f>
        <v>Freilos</v>
      </c>
      <c r="X6" s="47">
        <f t="shared" si="6"/>
        <v>0</v>
      </c>
      <c r="Y6" s="47">
        <f t="shared" si="7"/>
        <v>0</v>
      </c>
      <c r="Z6" s="47">
        <f t="shared" si="8"/>
        <v>0</v>
      </c>
      <c r="AA6" s="47">
        <f t="shared" si="19"/>
        <v>0</v>
      </c>
      <c r="AB6" s="47">
        <f t="shared" si="9"/>
        <v>0</v>
      </c>
      <c r="AC6" s="47">
        <f t="shared" si="10"/>
        <v>0</v>
      </c>
      <c r="AD6" s="47">
        <f t="shared" si="20"/>
        <v>0</v>
      </c>
      <c r="AE6" s="134">
        <f t="shared" si="21"/>
        <v>0</v>
      </c>
      <c r="AF6" s="47">
        <f t="shared" si="11"/>
        <v>0</v>
      </c>
      <c r="AG6" s="134">
        <f t="shared" si="22"/>
        <v>0</v>
      </c>
      <c r="AH6" s="134">
        <f t="shared" si="12"/>
        <v>0</v>
      </c>
      <c r="AI6" s="47">
        <f t="shared" si="13"/>
        <v>0</v>
      </c>
      <c r="AJ6" s="47">
        <f t="shared" si="14"/>
        <v>0</v>
      </c>
      <c r="AK6" s="47">
        <f t="shared" si="15"/>
        <v>0</v>
      </c>
      <c r="AL6" s="47">
        <f t="shared" si="16"/>
        <v>0</v>
      </c>
      <c r="AN6" s="121">
        <f t="shared" si="23"/>
      </c>
      <c r="AO6" s="135"/>
      <c r="AP6" s="121">
        <f t="shared" si="24"/>
        <v>1</v>
      </c>
      <c r="AQ6" s="172"/>
      <c r="AR6" s="173"/>
      <c r="AS6" s="174">
        <f t="shared" si="25"/>
      </c>
      <c r="BL6" s="47">
        <f>IF(AND(COUNTIF(L4:L4:L4:$L$33,L4)=1,F4+G4&gt;0),L4&amp;"-","")</f>
      </c>
    </row>
    <row r="7" spans="3:64" ht="11.25" thickBot="1">
      <c r="C7" s="61">
        <v>5</v>
      </c>
      <c r="D7" s="62" t="str">
        <f>IF(W4="Freilos","Freilos",IF(W4="","Spieler 2",W4))</f>
        <v>Freilos</v>
      </c>
      <c r="E7" s="63" t="str">
        <f>IF(W12="Freilos","Freilos",IF(W12="","Spieler 10",W12))</f>
        <v>Freilos</v>
      </c>
      <c r="F7" s="64"/>
      <c r="G7" s="65"/>
      <c r="H7" s="66"/>
      <c r="I7" s="65"/>
      <c r="J7" s="64"/>
      <c r="K7" s="67"/>
      <c r="L7" s="167"/>
      <c r="M7" s="69" t="s">
        <v>82</v>
      </c>
      <c r="N7" s="47">
        <f t="shared" si="0"/>
        <v>0</v>
      </c>
      <c r="O7" s="47">
        <f t="shared" si="1"/>
        <v>0</v>
      </c>
      <c r="P7" s="47">
        <f t="shared" si="2"/>
        <v>0</v>
      </c>
      <c r="Q7" s="47">
        <f t="shared" si="3"/>
        <v>0</v>
      </c>
      <c r="R7" s="47">
        <f t="shared" si="4"/>
        <v>0</v>
      </c>
      <c r="S7" s="47">
        <f t="shared" si="5"/>
        <v>0</v>
      </c>
      <c r="T7" s="47">
        <f t="shared" si="17"/>
        <v>3</v>
      </c>
      <c r="U7" s="133">
        <f t="shared" si="18"/>
        <v>3</v>
      </c>
      <c r="V7" s="47">
        <v>5</v>
      </c>
      <c r="W7" s="47" t="str">
        <f>IF(Auslosung_Turnierdaten!F13="","Spieler 5",Auslosung_Turnierdaten!F13)</f>
        <v>Freilos</v>
      </c>
      <c r="X7" s="47">
        <f t="shared" si="6"/>
        <v>0</v>
      </c>
      <c r="Y7" s="47">
        <f t="shared" si="7"/>
        <v>0</v>
      </c>
      <c r="Z7" s="47">
        <f t="shared" si="8"/>
        <v>0</v>
      </c>
      <c r="AA7" s="47">
        <f t="shared" si="19"/>
        <v>0</v>
      </c>
      <c r="AB7" s="47">
        <f t="shared" si="9"/>
        <v>0</v>
      </c>
      <c r="AC7" s="47">
        <f t="shared" si="10"/>
        <v>0</v>
      </c>
      <c r="AD7" s="47">
        <f t="shared" si="20"/>
        <v>0</v>
      </c>
      <c r="AE7" s="134">
        <f t="shared" si="21"/>
        <v>0</v>
      </c>
      <c r="AF7" s="47">
        <f t="shared" si="11"/>
        <v>0</v>
      </c>
      <c r="AG7" s="134">
        <f t="shared" si="22"/>
        <v>0</v>
      </c>
      <c r="AH7" s="134">
        <f t="shared" si="12"/>
        <v>0</v>
      </c>
      <c r="AI7" s="47">
        <f t="shared" si="13"/>
        <v>0</v>
      </c>
      <c r="AJ7" s="47">
        <f t="shared" si="14"/>
        <v>0</v>
      </c>
      <c r="AK7" s="47">
        <f t="shared" si="15"/>
        <v>0</v>
      </c>
      <c r="AL7" s="47">
        <f t="shared" si="16"/>
        <v>0</v>
      </c>
      <c r="AN7" s="121">
        <f t="shared" si="23"/>
      </c>
      <c r="AO7" s="135"/>
      <c r="AP7" s="121">
        <f t="shared" si="24"/>
        <v>1</v>
      </c>
      <c r="AQ7" s="172"/>
      <c r="AR7" s="173"/>
      <c r="AS7" s="174">
        <f t="shared" si="25"/>
      </c>
      <c r="BL7" s="47">
        <f>IF(AND(COUNTIF(L5:L5:L5:$L$33,L5)=1,F5+G5&gt;0),L5&amp;"-","")</f>
      </c>
    </row>
    <row r="8" spans="3:64" ht="10.5">
      <c r="C8" s="61">
        <v>6</v>
      </c>
      <c r="D8" s="62" t="str">
        <f>IF(W8="Freilos","Freilos",IF(W8="","Spieler 6",W8))</f>
        <v>Freilos</v>
      </c>
      <c r="E8" s="63" t="str">
        <f>IF(W16="Freilos","Freilos",IF(W16="","Spieler 14",W16))</f>
        <v>Freilos</v>
      </c>
      <c r="F8" s="64"/>
      <c r="G8" s="65"/>
      <c r="H8" s="66"/>
      <c r="I8" s="65"/>
      <c r="J8" s="64"/>
      <c r="K8" s="67"/>
      <c r="L8" s="167"/>
      <c r="M8" s="60"/>
      <c r="N8" s="47">
        <f t="shared" si="0"/>
        <v>0</v>
      </c>
      <c r="O8" s="47">
        <f t="shared" si="1"/>
        <v>0</v>
      </c>
      <c r="P8" s="47">
        <f t="shared" si="2"/>
        <v>0</v>
      </c>
      <c r="Q8" s="47">
        <f t="shared" si="3"/>
        <v>0</v>
      </c>
      <c r="R8" s="47">
        <f t="shared" si="4"/>
        <v>0</v>
      </c>
      <c r="S8" s="47">
        <f t="shared" si="5"/>
        <v>0</v>
      </c>
      <c r="T8" s="47">
        <f t="shared" si="17"/>
        <v>3</v>
      </c>
      <c r="U8" s="133">
        <f t="shared" si="18"/>
        <v>3</v>
      </c>
      <c r="V8" s="47">
        <v>6</v>
      </c>
      <c r="W8" s="47" t="str">
        <f>IF(Auslosung_Turnierdaten!F14="","Spieler 6",Auslosung_Turnierdaten!F14)</f>
        <v>Freilos</v>
      </c>
      <c r="X8" s="47">
        <f t="shared" si="6"/>
        <v>0</v>
      </c>
      <c r="Y8" s="47">
        <f t="shared" si="7"/>
        <v>0</v>
      </c>
      <c r="Z8" s="47">
        <f t="shared" si="8"/>
        <v>0</v>
      </c>
      <c r="AA8" s="47">
        <f t="shared" si="19"/>
        <v>0</v>
      </c>
      <c r="AB8" s="47">
        <f t="shared" si="9"/>
        <v>0</v>
      </c>
      <c r="AC8" s="47">
        <f t="shared" si="10"/>
        <v>0</v>
      </c>
      <c r="AD8" s="47">
        <f t="shared" si="20"/>
        <v>0</v>
      </c>
      <c r="AE8" s="134">
        <f t="shared" si="21"/>
        <v>0</v>
      </c>
      <c r="AF8" s="47">
        <f t="shared" si="11"/>
        <v>0</v>
      </c>
      <c r="AG8" s="134">
        <f t="shared" si="22"/>
        <v>0</v>
      </c>
      <c r="AH8" s="134">
        <f t="shared" si="12"/>
        <v>0</v>
      </c>
      <c r="AI8" s="47">
        <f t="shared" si="13"/>
        <v>0</v>
      </c>
      <c r="AJ8" s="47">
        <f t="shared" si="14"/>
        <v>0</v>
      </c>
      <c r="AK8" s="47">
        <f t="shared" si="15"/>
        <v>0</v>
      </c>
      <c r="AL8" s="47">
        <f t="shared" si="16"/>
        <v>0</v>
      </c>
      <c r="AN8" s="121">
        <f t="shared" si="23"/>
      </c>
      <c r="AO8" s="135"/>
      <c r="AP8" s="121">
        <f t="shared" si="24"/>
        <v>1</v>
      </c>
      <c r="AQ8" s="172"/>
      <c r="AR8" s="173"/>
      <c r="AS8" s="174">
        <f t="shared" si="25"/>
      </c>
      <c r="BL8" s="47">
        <f>IF(AND(COUNTIF(L6:L6:L6:$L$33,L6)=1,F6+G6&gt;0),L6&amp;"-","")</f>
      </c>
    </row>
    <row r="9" spans="3:64" ht="10.5">
      <c r="C9" s="61">
        <v>7</v>
      </c>
      <c r="D9" s="62" t="str">
        <f>IF(W6="Freilos","Freilos",IF(W6="","Spieler 4",W6))</f>
        <v>Freilos</v>
      </c>
      <c r="E9" s="63" t="str">
        <f>IF(W14="Freilos","Freilos",IF(W14="","Spieler 12",W14))</f>
        <v>Freilos</v>
      </c>
      <c r="F9" s="64"/>
      <c r="G9" s="65"/>
      <c r="H9" s="66"/>
      <c r="I9" s="65"/>
      <c r="J9" s="64"/>
      <c r="K9" s="67"/>
      <c r="L9" s="167"/>
      <c r="M9" s="60"/>
      <c r="N9" s="47">
        <f t="shared" si="0"/>
        <v>0</v>
      </c>
      <c r="O9" s="47">
        <f t="shared" si="1"/>
        <v>0</v>
      </c>
      <c r="P9" s="47">
        <f t="shared" si="2"/>
        <v>0</v>
      </c>
      <c r="Q9" s="47">
        <f t="shared" si="3"/>
        <v>0</v>
      </c>
      <c r="R9" s="47">
        <f t="shared" si="4"/>
        <v>0</v>
      </c>
      <c r="S9" s="47">
        <f t="shared" si="5"/>
        <v>0</v>
      </c>
      <c r="T9" s="47">
        <f t="shared" si="17"/>
        <v>3</v>
      </c>
      <c r="U9" s="133">
        <f t="shared" si="18"/>
        <v>3</v>
      </c>
      <c r="V9" s="47">
        <v>7</v>
      </c>
      <c r="W9" s="47" t="str">
        <f>IF(Auslosung_Turnierdaten!F15="","Spieler 7",Auslosung_Turnierdaten!F15)</f>
        <v>Freilos</v>
      </c>
      <c r="X9" s="47">
        <f t="shared" si="6"/>
        <v>0</v>
      </c>
      <c r="Y9" s="47">
        <f t="shared" si="7"/>
        <v>0</v>
      </c>
      <c r="Z9" s="47">
        <f t="shared" si="8"/>
        <v>0</v>
      </c>
      <c r="AA9" s="47">
        <f t="shared" si="19"/>
        <v>0</v>
      </c>
      <c r="AB9" s="47">
        <f t="shared" si="9"/>
        <v>0</v>
      </c>
      <c r="AC9" s="47">
        <f t="shared" si="10"/>
        <v>0</v>
      </c>
      <c r="AD9" s="47">
        <f t="shared" si="20"/>
        <v>0</v>
      </c>
      <c r="AE9" s="134">
        <f t="shared" si="21"/>
        <v>0</v>
      </c>
      <c r="AF9" s="47">
        <f t="shared" si="11"/>
        <v>0</v>
      </c>
      <c r="AG9" s="134">
        <f t="shared" si="22"/>
        <v>0</v>
      </c>
      <c r="AH9" s="134">
        <f t="shared" si="12"/>
        <v>0</v>
      </c>
      <c r="AI9" s="47">
        <f t="shared" si="13"/>
        <v>0</v>
      </c>
      <c r="AJ9" s="47">
        <f t="shared" si="14"/>
        <v>0</v>
      </c>
      <c r="AK9" s="47">
        <f t="shared" si="15"/>
        <v>0</v>
      </c>
      <c r="AL9" s="47">
        <f t="shared" si="16"/>
        <v>0</v>
      </c>
      <c r="AN9" s="121">
        <f t="shared" si="23"/>
      </c>
      <c r="AO9" s="135"/>
      <c r="AP9" s="121">
        <f t="shared" si="24"/>
        <v>1</v>
      </c>
      <c r="AQ9" s="172"/>
      <c r="AR9" s="173"/>
      <c r="AS9" s="174">
        <f t="shared" si="25"/>
      </c>
      <c r="BL9" s="47">
        <f>IF(AND(COUNTIF(L7:L7:L7:$L$33,L7)=1,F7+G7&gt;0),L7&amp;"-","")</f>
      </c>
    </row>
    <row r="10" spans="3:64" ht="11.25" thickBot="1">
      <c r="C10" s="70">
        <v>8</v>
      </c>
      <c r="D10" s="71" t="str">
        <f>IF(W10="Freilos","Freilos",IF(W10="","Spieler 8",W10))</f>
        <v>Freilos</v>
      </c>
      <c r="E10" s="72" t="str">
        <f>IF(W18="Freilos","Freilos",IF(W18="","Spieler 16",W18))</f>
        <v>Freilos</v>
      </c>
      <c r="F10" s="75"/>
      <c r="G10" s="74"/>
      <c r="H10" s="73"/>
      <c r="I10" s="74"/>
      <c r="J10" s="75"/>
      <c r="K10" s="76"/>
      <c r="L10" s="167"/>
      <c r="M10" s="60" t="s">
        <v>47</v>
      </c>
      <c r="N10" s="47">
        <f t="shared" si="0"/>
        <v>0</v>
      </c>
      <c r="O10" s="47">
        <f t="shared" si="1"/>
        <v>0</v>
      </c>
      <c r="P10" s="47">
        <f t="shared" si="2"/>
        <v>0</v>
      </c>
      <c r="Q10" s="47">
        <f t="shared" si="3"/>
        <v>0</v>
      </c>
      <c r="R10" s="47">
        <f t="shared" si="4"/>
        <v>0</v>
      </c>
      <c r="S10" s="47">
        <f t="shared" si="5"/>
        <v>0</v>
      </c>
      <c r="T10" s="47">
        <f t="shared" si="17"/>
        <v>3</v>
      </c>
      <c r="U10" s="133">
        <f t="shared" si="18"/>
        <v>3</v>
      </c>
      <c r="V10" s="47">
        <v>8</v>
      </c>
      <c r="W10" s="47" t="str">
        <f>IF(Auslosung_Turnierdaten!F16="","Spieler 8",Auslosung_Turnierdaten!F16)</f>
        <v>Freilos</v>
      </c>
      <c r="X10" s="47">
        <f t="shared" si="6"/>
        <v>0</v>
      </c>
      <c r="Y10" s="47">
        <f t="shared" si="7"/>
        <v>0</v>
      </c>
      <c r="Z10" s="47">
        <f t="shared" si="8"/>
        <v>0</v>
      </c>
      <c r="AA10" s="47">
        <f t="shared" si="19"/>
        <v>0</v>
      </c>
      <c r="AB10" s="47">
        <f t="shared" si="9"/>
        <v>0</v>
      </c>
      <c r="AC10" s="47">
        <f t="shared" si="10"/>
        <v>0</v>
      </c>
      <c r="AD10" s="47">
        <f t="shared" si="20"/>
        <v>0</v>
      </c>
      <c r="AE10" s="134">
        <f t="shared" si="21"/>
        <v>0</v>
      </c>
      <c r="AF10" s="47">
        <f t="shared" si="11"/>
        <v>0</v>
      </c>
      <c r="AG10" s="134">
        <f t="shared" si="22"/>
        <v>0</v>
      </c>
      <c r="AH10" s="134">
        <f t="shared" si="12"/>
        <v>0</v>
      </c>
      <c r="AI10" s="47">
        <f t="shared" si="13"/>
        <v>0</v>
      </c>
      <c r="AJ10" s="47">
        <f t="shared" si="14"/>
        <v>0</v>
      </c>
      <c r="AK10" s="47">
        <f t="shared" si="15"/>
        <v>0</v>
      </c>
      <c r="AL10" s="47">
        <f t="shared" si="16"/>
        <v>0</v>
      </c>
      <c r="AN10" s="121">
        <f t="shared" si="23"/>
      </c>
      <c r="AO10" s="135"/>
      <c r="AP10" s="121">
        <f t="shared" si="24"/>
        <v>1</v>
      </c>
      <c r="AQ10" s="172"/>
      <c r="AR10" s="173"/>
      <c r="AS10" s="174">
        <f t="shared" si="25"/>
      </c>
      <c r="BL10" s="47">
        <f>IF(AND(COUNTIF(L8:L8:L8:$L$33,L8)=1,F8+G8&gt;0),L8&amp;"-","")</f>
      </c>
    </row>
    <row r="11" spans="2:64" ht="11.25" thickBot="1">
      <c r="B11" s="49" t="s">
        <v>41</v>
      </c>
      <c r="C11" s="53">
        <v>9</v>
      </c>
      <c r="D11" s="77" t="str">
        <f>IF(D3="Spieler 1","Verlierer 1",IF(E3="Spieler 9","Verlierer 1",IF(D3=E3,"Freilos",IF(E3="Freilos",E3,IF(D3="Freilos",D3,IF(F3&gt;G3,E3,IF(G3&gt;F3,D3,"Verlierer 1")))))))</f>
        <v>Freilos</v>
      </c>
      <c r="E11" s="78" t="str">
        <f>IF(D4="Spieler 5","Verlierer 2",IF(E4="Spieler 13","Verlierer 2",IF(D4=E4,"Freilos",IF(E4="Freilos",E4,IF(D4="Freilos",D4,IF(F4&gt;G4,E4,IF(G4&gt;F4,D4,"Verlierer 2")))))))</f>
        <v>Freilos</v>
      </c>
      <c r="F11" s="79"/>
      <c r="G11" s="80"/>
      <c r="H11" s="81"/>
      <c r="I11" s="80"/>
      <c r="J11" s="79"/>
      <c r="K11" s="82"/>
      <c r="L11" s="167"/>
      <c r="M11" s="83">
        <f>IF(F11&gt;G11,E11,IF(F11&lt;G11,D11,""))</f>
      </c>
      <c r="N11" s="47">
        <f t="shared" si="0"/>
        <v>0</v>
      </c>
      <c r="O11" s="47">
        <f t="shared" si="1"/>
        <v>0</v>
      </c>
      <c r="P11" s="47">
        <f t="shared" si="2"/>
        <v>0</v>
      </c>
      <c r="Q11" s="47">
        <f t="shared" si="3"/>
        <v>0</v>
      </c>
      <c r="R11" s="47">
        <f t="shared" si="4"/>
        <v>0</v>
      </c>
      <c r="S11" s="47">
        <f t="shared" si="5"/>
        <v>0</v>
      </c>
      <c r="T11" s="47">
        <f t="shared" si="17"/>
        <v>3</v>
      </c>
      <c r="U11" s="133">
        <f t="shared" si="18"/>
        <v>3</v>
      </c>
      <c r="V11" s="47">
        <v>9</v>
      </c>
      <c r="W11" s="47" t="str">
        <f>IF(Auslosung_Turnierdaten!F17="","Spieler 9",Auslosung_Turnierdaten!F17)</f>
        <v>Freilos</v>
      </c>
      <c r="X11" s="47">
        <f t="shared" si="6"/>
        <v>0</v>
      </c>
      <c r="Y11" s="47">
        <f t="shared" si="7"/>
        <v>0</v>
      </c>
      <c r="Z11" s="47">
        <f t="shared" si="8"/>
        <v>0</v>
      </c>
      <c r="AA11" s="47">
        <f t="shared" si="19"/>
        <v>0</v>
      </c>
      <c r="AB11" s="47">
        <f t="shared" si="9"/>
        <v>0</v>
      </c>
      <c r="AC11" s="47">
        <f t="shared" si="10"/>
        <v>0</v>
      </c>
      <c r="AD11" s="47">
        <f t="shared" si="20"/>
        <v>0</v>
      </c>
      <c r="AE11" s="134">
        <f t="shared" si="21"/>
        <v>0</v>
      </c>
      <c r="AF11" s="47">
        <f t="shared" si="11"/>
        <v>0</v>
      </c>
      <c r="AG11" s="134">
        <f t="shared" si="22"/>
        <v>0</v>
      </c>
      <c r="AH11" s="134">
        <f t="shared" si="12"/>
        <v>0</v>
      </c>
      <c r="AI11" s="47">
        <f t="shared" si="13"/>
        <v>0</v>
      </c>
      <c r="AJ11" s="47">
        <f t="shared" si="14"/>
        <v>0</v>
      </c>
      <c r="AK11" s="47">
        <f t="shared" si="15"/>
        <v>0</v>
      </c>
      <c r="AL11" s="47">
        <f t="shared" si="16"/>
        <v>0</v>
      </c>
      <c r="AN11" s="121">
        <f t="shared" si="23"/>
      </c>
      <c r="AO11" s="135"/>
      <c r="AP11" s="121">
        <f t="shared" si="24"/>
        <v>1</v>
      </c>
      <c r="AQ11" s="172"/>
      <c r="AR11" s="173"/>
      <c r="AS11" s="174">
        <f t="shared" si="25"/>
      </c>
      <c r="BL11" s="47">
        <f>IF(AND(COUNTIF(L9:L9:L9:$L$33,L9)=1,F9+G9&gt;0),L9&amp;"-","")</f>
      </c>
    </row>
    <row r="12" spans="3:64" ht="10.5">
      <c r="C12" s="61">
        <v>10</v>
      </c>
      <c r="D12" s="84" t="str">
        <f>IF(D5="Spieler 3","Verlierer 3",IF(E5="Spieler 11","Verlierer 3",IF(D5=E5,"Freilos",IF(E5="Freilos",E5,IF(D5="Freilos",D5,IF(F5&gt;G5,E5,IF(G5&gt;F5,D5,"Verlierer 3")))))))</f>
        <v>Freilos</v>
      </c>
      <c r="E12" s="85" t="str">
        <f>IF(D6="Spieler 7","Verlierer 4",IF(E6="Spieler 15","Verlierer 4",IF(D6=E6,"Freilos",IF(E6="Freilos",E6,IF(D6="Freilos",D6,IF(F6&gt;G6,E6,IF(G6&gt;F6,D6,"Verlierer 4")))))))</f>
        <v>Freilos</v>
      </c>
      <c r="F12" s="86"/>
      <c r="G12" s="87"/>
      <c r="H12" s="88"/>
      <c r="I12" s="87"/>
      <c r="J12" s="86"/>
      <c r="K12" s="89"/>
      <c r="L12" s="167"/>
      <c r="M12" s="83">
        <f>IF(F12&gt;G12,E12,IF(F12&lt;G12,D12,""))</f>
      </c>
      <c r="N12" s="47">
        <f t="shared" si="0"/>
        <v>0</v>
      </c>
      <c r="O12" s="47">
        <f t="shared" si="1"/>
        <v>0</v>
      </c>
      <c r="P12" s="47">
        <f t="shared" si="2"/>
        <v>0</v>
      </c>
      <c r="Q12" s="47">
        <f t="shared" si="3"/>
        <v>0</v>
      </c>
      <c r="R12" s="47">
        <f t="shared" si="4"/>
        <v>0</v>
      </c>
      <c r="S12" s="47">
        <f t="shared" si="5"/>
        <v>0</v>
      </c>
      <c r="T12" s="47">
        <f t="shared" si="17"/>
        <v>3</v>
      </c>
      <c r="U12" s="133">
        <f t="shared" si="18"/>
        <v>3</v>
      </c>
      <c r="V12" s="47">
        <v>10</v>
      </c>
      <c r="W12" s="47" t="str">
        <f>IF(Auslosung_Turnierdaten!F18="","Spieler 10",Auslosung_Turnierdaten!F18)</f>
        <v>Freilos</v>
      </c>
      <c r="X12" s="47">
        <f t="shared" si="6"/>
        <v>0</v>
      </c>
      <c r="Y12" s="47">
        <f t="shared" si="7"/>
        <v>0</v>
      </c>
      <c r="Z12" s="47">
        <f t="shared" si="8"/>
        <v>0</v>
      </c>
      <c r="AA12" s="47">
        <f t="shared" si="19"/>
        <v>0</v>
      </c>
      <c r="AB12" s="47">
        <f t="shared" si="9"/>
        <v>0</v>
      </c>
      <c r="AC12" s="47">
        <f t="shared" si="10"/>
        <v>0</v>
      </c>
      <c r="AD12" s="47">
        <f t="shared" si="20"/>
        <v>0</v>
      </c>
      <c r="AE12" s="134">
        <f t="shared" si="21"/>
        <v>0</v>
      </c>
      <c r="AF12" s="47">
        <f t="shared" si="11"/>
        <v>0</v>
      </c>
      <c r="AG12" s="134">
        <f t="shared" si="22"/>
        <v>0</v>
      </c>
      <c r="AH12" s="134">
        <f t="shared" si="12"/>
        <v>0</v>
      </c>
      <c r="AI12" s="47">
        <f t="shared" si="13"/>
        <v>0</v>
      </c>
      <c r="AJ12" s="47">
        <f t="shared" si="14"/>
        <v>0</v>
      </c>
      <c r="AK12" s="47">
        <f t="shared" si="15"/>
        <v>0</v>
      </c>
      <c r="AL12" s="47">
        <f t="shared" si="16"/>
        <v>0</v>
      </c>
      <c r="AN12" s="121">
        <f t="shared" si="23"/>
      </c>
      <c r="AO12" s="135"/>
      <c r="AP12" s="121">
        <f t="shared" si="24"/>
        <v>1</v>
      </c>
      <c r="AQ12" s="172"/>
      <c r="AR12" s="173"/>
      <c r="AS12" s="174">
        <f t="shared" si="25"/>
      </c>
      <c r="BL12" s="47">
        <f>IF(AND(COUNTIF(L10:L10:L10:$L$33,L10)=1,F10+G10&gt;0),L10&amp;"-","")</f>
      </c>
    </row>
    <row r="13" spans="3:64" ht="10.5">
      <c r="C13" s="61">
        <v>11</v>
      </c>
      <c r="D13" s="84" t="str">
        <f>IF(D7="Spieler 2","Verlierer 5",IF(E7="Spieler 10","Verlierer 5",IF(D7=E7,"Freilos",IF(E7="Freilos",E7,IF(D7="Freilos",D7,IF(F7&gt;G7,E7,IF(G7&gt;F7,D7,"Verlierer 5")))))))</f>
        <v>Freilos</v>
      </c>
      <c r="E13" s="85" t="str">
        <f>IF(D8="Spieler 6","Verlierer 6",IF(E8="Spieler 14","Verlierer 6",IF(D8=E8,"Freilos",IF(E8="Freilos",E8,IF(D8="Freilos",D8,IF(F8&gt;G8,E8,IF(G8&gt;F8,D8,"Verlierer 6")))))))</f>
        <v>Freilos</v>
      </c>
      <c r="F13" s="86"/>
      <c r="G13" s="87"/>
      <c r="H13" s="88"/>
      <c r="I13" s="87"/>
      <c r="J13" s="86"/>
      <c r="K13" s="89"/>
      <c r="L13" s="167"/>
      <c r="M13" s="83">
        <f>IF(F13&gt;G13,E13,IF(F13&lt;G13,D13,""))</f>
      </c>
      <c r="N13" s="47">
        <f t="shared" si="0"/>
        <v>0</v>
      </c>
      <c r="O13" s="47">
        <f t="shared" si="1"/>
        <v>0</v>
      </c>
      <c r="P13" s="47">
        <f t="shared" si="2"/>
        <v>0</v>
      </c>
      <c r="Q13" s="47">
        <f t="shared" si="3"/>
        <v>0</v>
      </c>
      <c r="R13" s="47">
        <f t="shared" si="4"/>
        <v>0</v>
      </c>
      <c r="S13" s="47">
        <f t="shared" si="5"/>
        <v>0</v>
      </c>
      <c r="T13" s="47">
        <f t="shared" si="17"/>
        <v>3</v>
      </c>
      <c r="U13" s="133">
        <f t="shared" si="18"/>
        <v>3</v>
      </c>
      <c r="V13" s="47">
        <v>11</v>
      </c>
      <c r="W13" s="47" t="str">
        <f>IF(Auslosung_Turnierdaten!F19="","Spieler 11",Auslosung_Turnierdaten!F19)</f>
        <v>Freilos</v>
      </c>
      <c r="X13" s="47">
        <f t="shared" si="6"/>
        <v>0</v>
      </c>
      <c r="Y13" s="47">
        <f t="shared" si="7"/>
        <v>0</v>
      </c>
      <c r="Z13" s="47">
        <f t="shared" si="8"/>
        <v>0</v>
      </c>
      <c r="AA13" s="47">
        <f t="shared" si="19"/>
        <v>0</v>
      </c>
      <c r="AB13" s="47">
        <f t="shared" si="9"/>
        <v>0</v>
      </c>
      <c r="AC13" s="47">
        <f t="shared" si="10"/>
        <v>0</v>
      </c>
      <c r="AD13" s="47">
        <f t="shared" si="20"/>
        <v>0</v>
      </c>
      <c r="AE13" s="134">
        <f t="shared" si="21"/>
        <v>0</v>
      </c>
      <c r="AF13" s="47">
        <f t="shared" si="11"/>
        <v>0</v>
      </c>
      <c r="AG13" s="134">
        <f t="shared" si="22"/>
        <v>0</v>
      </c>
      <c r="AH13" s="134">
        <f t="shared" si="12"/>
        <v>0</v>
      </c>
      <c r="AI13" s="47">
        <f t="shared" si="13"/>
        <v>0</v>
      </c>
      <c r="AJ13" s="47">
        <f t="shared" si="14"/>
        <v>0</v>
      </c>
      <c r="AK13" s="47">
        <f t="shared" si="15"/>
        <v>0</v>
      </c>
      <c r="AL13" s="47">
        <f t="shared" si="16"/>
        <v>0</v>
      </c>
      <c r="AN13" s="121">
        <f t="shared" si="23"/>
      </c>
      <c r="AO13" s="135"/>
      <c r="AP13" s="121">
        <f t="shared" si="24"/>
        <v>1</v>
      </c>
      <c r="AQ13" s="172"/>
      <c r="AR13" s="173"/>
      <c r="AS13" s="174">
        <f t="shared" si="25"/>
      </c>
      <c r="BL13" s="47">
        <f>IF(AND(COUNTIF(L11:L11:L11:$L$33,L11)=1,F11+G11&gt;0),L11&amp;"-","")</f>
      </c>
    </row>
    <row r="14" spans="1:64" ht="11.25" thickBot="1">
      <c r="A14" s="83"/>
      <c r="C14" s="70">
        <v>12</v>
      </c>
      <c r="D14" s="90" t="str">
        <f>IF(D9="Spieler 4","Verlierer 7",IF(E9="Spieler 12","Verlierer 7",IF(D9=E9,"Freilos",IF(E9="Freilos",E9,IF(D9="Freilos",D9,IF(F9&gt;G9,E9,IF(G9&gt;F9,D9,"Verlierer 7")))))))</f>
        <v>Freilos</v>
      </c>
      <c r="E14" s="91" t="str">
        <f>IF(D10="Spieler 8","Verlierer 8",IF(E10="Spieler 16","Verlierer 8",IF(D10=E10,"Freilos",IF(E10="Freilos",E10,IF(D10="Freilos",D10,IF(F10&gt;G10,E10,IF(G10&gt;F10,D10,"Verlierer 8")))))))</f>
        <v>Freilos</v>
      </c>
      <c r="F14" s="94"/>
      <c r="G14" s="93"/>
      <c r="H14" s="92"/>
      <c r="I14" s="93"/>
      <c r="J14" s="94"/>
      <c r="K14" s="95"/>
      <c r="L14" s="167"/>
      <c r="M14" s="83">
        <f>IF(F14&gt;G14,E14,IF(F14&lt;G14,D14,""))</f>
      </c>
      <c r="N14" s="47">
        <f t="shared" si="0"/>
        <v>0</v>
      </c>
      <c r="O14" s="47">
        <f t="shared" si="1"/>
        <v>0</v>
      </c>
      <c r="P14" s="47">
        <f t="shared" si="2"/>
        <v>0</v>
      </c>
      <c r="Q14" s="47">
        <f t="shared" si="3"/>
        <v>0</v>
      </c>
      <c r="R14" s="47">
        <f t="shared" si="4"/>
        <v>0</v>
      </c>
      <c r="S14" s="47">
        <f t="shared" si="5"/>
        <v>0</v>
      </c>
      <c r="T14" s="47">
        <f t="shared" si="17"/>
        <v>3</v>
      </c>
      <c r="U14" s="133">
        <f t="shared" si="18"/>
        <v>3</v>
      </c>
      <c r="V14" s="47">
        <v>12</v>
      </c>
      <c r="W14" s="47" t="str">
        <f>IF(Auslosung_Turnierdaten!F20="","Spieler 12",Auslosung_Turnierdaten!F20)</f>
        <v>Freilos</v>
      </c>
      <c r="X14" s="47">
        <f t="shared" si="6"/>
        <v>0</v>
      </c>
      <c r="Y14" s="47">
        <f t="shared" si="7"/>
        <v>0</v>
      </c>
      <c r="Z14" s="47">
        <f t="shared" si="8"/>
        <v>0</v>
      </c>
      <c r="AA14" s="47">
        <f t="shared" si="19"/>
        <v>0</v>
      </c>
      <c r="AB14" s="47">
        <f t="shared" si="9"/>
        <v>0</v>
      </c>
      <c r="AC14" s="47">
        <f t="shared" si="10"/>
        <v>0</v>
      </c>
      <c r="AD14" s="47">
        <f t="shared" si="20"/>
        <v>0</v>
      </c>
      <c r="AE14" s="134">
        <f t="shared" si="21"/>
        <v>0</v>
      </c>
      <c r="AF14" s="47">
        <f t="shared" si="11"/>
        <v>0</v>
      </c>
      <c r="AG14" s="134">
        <f t="shared" si="22"/>
        <v>0</v>
      </c>
      <c r="AH14" s="134">
        <f t="shared" si="12"/>
        <v>0</v>
      </c>
      <c r="AI14" s="47">
        <f t="shared" si="13"/>
        <v>0</v>
      </c>
      <c r="AJ14" s="47">
        <f t="shared" si="14"/>
        <v>0</v>
      </c>
      <c r="AK14" s="47">
        <f t="shared" si="15"/>
        <v>0</v>
      </c>
      <c r="AL14" s="47">
        <f t="shared" si="16"/>
        <v>0</v>
      </c>
      <c r="AN14" s="121">
        <f t="shared" si="23"/>
      </c>
      <c r="AO14" s="135"/>
      <c r="AP14" s="121">
        <f t="shared" si="24"/>
        <v>1</v>
      </c>
      <c r="AQ14" s="172"/>
      <c r="AR14" s="173"/>
      <c r="AS14" s="174">
        <f t="shared" si="25"/>
      </c>
      <c r="BL14" s="47">
        <f>IF(AND(COUNTIF(L12:L12:L12:$L$33,L12)=1,F12+G12&gt;0),L12&amp;"-","")</f>
      </c>
    </row>
    <row r="15" spans="2:64" ht="11.25" thickBot="1">
      <c r="B15" s="52" t="s">
        <v>42</v>
      </c>
      <c r="C15" s="53">
        <v>13</v>
      </c>
      <c r="D15" s="54" t="str">
        <f>IF(D3="Spieler 1","Sieger 1",IF(E3="Spieler 9","Sieger 1",IF(D3=E3,"Freilos",IF(E3="Freilos",D3,IF(D3="Freilos",E3,IF(F3&gt;G3,D3,IF(G3&gt;F3,E3,"Sieger 1")))))))</f>
        <v>Freilos</v>
      </c>
      <c r="E15" s="55" t="str">
        <f>IF(D4="Spieler 5","Sieger 2",IF(E4="Spieler 13","Sieger 2",IF(D4=E4,"Freilos",IF(E4="Freilos",D4,IF(D4="Freilos",E4,IF(F4&gt;G4,D4,IF(G4&gt;F4,E4,"Sieger 2")))))))</f>
        <v>Freilos</v>
      </c>
      <c r="F15" s="56"/>
      <c r="G15" s="57"/>
      <c r="H15" s="58"/>
      <c r="I15" s="57"/>
      <c r="J15" s="56"/>
      <c r="K15" s="59"/>
      <c r="L15" s="167"/>
      <c r="M15" s="179"/>
      <c r="N15" s="47">
        <f t="shared" si="0"/>
        <v>0</v>
      </c>
      <c r="O15" s="47">
        <f t="shared" si="1"/>
        <v>0</v>
      </c>
      <c r="P15" s="47">
        <f t="shared" si="2"/>
        <v>0</v>
      </c>
      <c r="Q15" s="47">
        <f t="shared" si="3"/>
        <v>0</v>
      </c>
      <c r="R15" s="47">
        <f t="shared" si="4"/>
        <v>0</v>
      </c>
      <c r="S15" s="47">
        <f t="shared" si="5"/>
        <v>0</v>
      </c>
      <c r="T15" s="47">
        <f aca="true" t="shared" si="26" ref="T15:T26">IF(E15="Freilos",3,IF(F15&gt;G15,3,0))</f>
        <v>3</v>
      </c>
      <c r="U15" s="133">
        <f aca="true" t="shared" si="27" ref="U15:U26">IF(D15="Freilos",3,IF(G15&gt;F15,3,0))</f>
        <v>3</v>
      </c>
      <c r="V15" s="47">
        <v>13</v>
      </c>
      <c r="W15" s="47" t="str">
        <f>IF(Auslosung_Turnierdaten!F21="","Spieler 13",Auslosung_Turnierdaten!F21)</f>
        <v>Freilos</v>
      </c>
      <c r="X15" s="47">
        <f t="shared" si="6"/>
        <v>0</v>
      </c>
      <c r="Y15" s="47">
        <f t="shared" si="7"/>
        <v>0</v>
      </c>
      <c r="Z15" s="47">
        <f t="shared" si="8"/>
        <v>0</v>
      </c>
      <c r="AA15" s="47">
        <f t="shared" si="19"/>
        <v>0</v>
      </c>
      <c r="AB15" s="47">
        <f t="shared" si="9"/>
        <v>0</v>
      </c>
      <c r="AC15" s="47">
        <f t="shared" si="10"/>
        <v>0</v>
      </c>
      <c r="AD15" s="47">
        <f t="shared" si="20"/>
        <v>0</v>
      </c>
      <c r="AE15" s="134">
        <f t="shared" si="21"/>
        <v>0</v>
      </c>
      <c r="AF15" s="47">
        <f t="shared" si="11"/>
        <v>0</v>
      </c>
      <c r="AG15" s="134">
        <f t="shared" si="22"/>
        <v>0</v>
      </c>
      <c r="AH15" s="134">
        <f t="shared" si="12"/>
        <v>0</v>
      </c>
      <c r="AI15" s="47">
        <f t="shared" si="13"/>
        <v>0</v>
      </c>
      <c r="AJ15" s="47">
        <f t="shared" si="14"/>
        <v>0</v>
      </c>
      <c r="AK15" s="47">
        <f t="shared" si="15"/>
        <v>0</v>
      </c>
      <c r="AL15" s="47">
        <f t="shared" si="16"/>
        <v>0</v>
      </c>
      <c r="AN15" s="121">
        <f t="shared" si="23"/>
      </c>
      <c r="AO15" s="135"/>
      <c r="AP15" s="121">
        <f t="shared" si="24"/>
        <v>1</v>
      </c>
      <c r="AQ15" s="172"/>
      <c r="AR15" s="173"/>
      <c r="AS15" s="174">
        <f t="shared" si="25"/>
      </c>
      <c r="BL15" s="47">
        <f>IF(AND(COUNTIF(L13:L13:L13:$L$33,L13)=1,F13+G13&gt;0),L13&amp;"-","")</f>
      </c>
    </row>
    <row r="16" spans="3:64" ht="10.5">
      <c r="C16" s="61">
        <v>14</v>
      </c>
      <c r="D16" s="62" t="str">
        <f>IF(D5="Spieler 3","Sieger 3",IF(E5="Spieler 11","Sieger 3",IF(D5=E5,"Freilos",IF(E5="Freilos",D5,IF(D5="Freilos",E5,IF(F5&gt;G5,D5,IF(G5&gt;F5,E5,"Sieger 3")))))))</f>
        <v>Freilos</v>
      </c>
      <c r="E16" s="63" t="str">
        <f>IF(D6="Spieler 7","Sieger 4",IF(E6="Spieler 15","Sieger 4",IF(D6=E6,"Freilos",IF(E6="Freilos",D6,IF(D6="Freilos",E6,IF(F6&gt;G6,D6,IF(G6&gt;F6,E6,"Sieger 4")))))))</f>
        <v>Freilos</v>
      </c>
      <c r="F16" s="64"/>
      <c r="G16" s="65"/>
      <c r="H16" s="66"/>
      <c r="I16" s="65"/>
      <c r="J16" s="64"/>
      <c r="K16" s="67"/>
      <c r="L16" s="167"/>
      <c r="M16" s="179"/>
      <c r="N16" s="47">
        <f t="shared" si="0"/>
        <v>0</v>
      </c>
      <c r="O16" s="47">
        <f t="shared" si="1"/>
        <v>0</v>
      </c>
      <c r="P16" s="47">
        <f t="shared" si="2"/>
        <v>0</v>
      </c>
      <c r="Q16" s="47">
        <f t="shared" si="3"/>
        <v>0</v>
      </c>
      <c r="R16" s="47">
        <f t="shared" si="4"/>
        <v>0</v>
      </c>
      <c r="S16" s="47">
        <f t="shared" si="5"/>
        <v>0</v>
      </c>
      <c r="T16" s="47">
        <f t="shared" si="26"/>
        <v>3</v>
      </c>
      <c r="U16" s="133">
        <f t="shared" si="27"/>
        <v>3</v>
      </c>
      <c r="V16" s="47">
        <v>14</v>
      </c>
      <c r="W16" s="47" t="str">
        <f>IF(Auslosung_Turnierdaten!F22="","Spieler 14",Auslosung_Turnierdaten!F22)</f>
        <v>Freilos</v>
      </c>
      <c r="X16" s="47">
        <f t="shared" si="6"/>
        <v>0</v>
      </c>
      <c r="Y16" s="47">
        <f t="shared" si="7"/>
        <v>0</v>
      </c>
      <c r="Z16" s="47">
        <f t="shared" si="8"/>
        <v>0</v>
      </c>
      <c r="AA16" s="47">
        <f t="shared" si="19"/>
        <v>0</v>
      </c>
      <c r="AB16" s="47">
        <f t="shared" si="9"/>
        <v>0</v>
      </c>
      <c r="AC16" s="47">
        <f t="shared" si="10"/>
        <v>0</v>
      </c>
      <c r="AD16" s="47">
        <f t="shared" si="20"/>
        <v>0</v>
      </c>
      <c r="AE16" s="134">
        <f t="shared" si="21"/>
        <v>0</v>
      </c>
      <c r="AF16" s="47">
        <f t="shared" si="11"/>
        <v>0</v>
      </c>
      <c r="AG16" s="134">
        <f t="shared" si="22"/>
        <v>0</v>
      </c>
      <c r="AH16" s="134">
        <f t="shared" si="12"/>
        <v>0</v>
      </c>
      <c r="AI16" s="47">
        <f t="shared" si="13"/>
        <v>0</v>
      </c>
      <c r="AJ16" s="47">
        <f t="shared" si="14"/>
        <v>0</v>
      </c>
      <c r="AK16" s="47">
        <f t="shared" si="15"/>
        <v>0</v>
      </c>
      <c r="AL16" s="47">
        <f t="shared" si="16"/>
        <v>0</v>
      </c>
      <c r="AN16" s="121">
        <f t="shared" si="23"/>
      </c>
      <c r="AO16" s="135"/>
      <c r="AP16" s="121">
        <f t="shared" si="24"/>
        <v>1</v>
      </c>
      <c r="AQ16" s="172"/>
      <c r="AR16" s="173"/>
      <c r="AS16" s="174">
        <f t="shared" si="25"/>
      </c>
      <c r="BL16" s="47">
        <f>IF(AND(COUNTIF(L14:L14:L14:$L$33,L14)=1,F14+G14&gt;0),L14&amp;"-","")</f>
      </c>
    </row>
    <row r="17" spans="3:64" ht="10.5">
      <c r="C17" s="61">
        <v>15</v>
      </c>
      <c r="D17" s="62" t="str">
        <f>IF(D7="Spieler 2","Sieger 5",IF(E7="Spieler 10","Sieger 5",IF(D7=E7,"Freilos",IF(E7="Freilos",D7,IF(D7="Freilos",E7,IF(F7&gt;G7,D7,IF(G7&gt;F7,E7,"Sieger 5")))))))</f>
        <v>Freilos</v>
      </c>
      <c r="E17" s="63" t="str">
        <f>IF(D8="Spieler 6","Sieger 6",IF(E8="Spieler 14","Sieger 6",IF(D8=E8,"Freilos",IF(E8="Freilos",D8,IF(D8="Freilos",E8,IF(F8&gt;G8,D8,IF(G8&gt;F8,E8,"Sieger 6")))))))</f>
        <v>Freilos</v>
      </c>
      <c r="F17" s="64"/>
      <c r="G17" s="65"/>
      <c r="H17" s="66"/>
      <c r="I17" s="65"/>
      <c r="J17" s="64"/>
      <c r="K17" s="67"/>
      <c r="L17" s="167"/>
      <c r="M17" s="180"/>
      <c r="N17" s="47">
        <f t="shared" si="0"/>
        <v>0</v>
      </c>
      <c r="O17" s="47">
        <f t="shared" si="1"/>
        <v>0</v>
      </c>
      <c r="P17" s="47">
        <f t="shared" si="2"/>
        <v>0</v>
      </c>
      <c r="Q17" s="47">
        <f t="shared" si="3"/>
        <v>0</v>
      </c>
      <c r="R17" s="47">
        <f t="shared" si="4"/>
        <v>0</v>
      </c>
      <c r="S17" s="47">
        <f t="shared" si="5"/>
        <v>0</v>
      </c>
      <c r="T17" s="47">
        <f t="shared" si="26"/>
        <v>3</v>
      </c>
      <c r="U17" s="133">
        <f t="shared" si="27"/>
        <v>3</v>
      </c>
      <c r="V17" s="47">
        <v>15</v>
      </c>
      <c r="W17" s="47" t="str">
        <f>IF(Auslosung_Turnierdaten!F23="","Spieler 15",Auslosung_Turnierdaten!F23)</f>
        <v>Freilos</v>
      </c>
      <c r="X17" s="47">
        <f t="shared" si="6"/>
        <v>0</v>
      </c>
      <c r="Y17" s="47">
        <f t="shared" si="7"/>
        <v>0</v>
      </c>
      <c r="Z17" s="47">
        <f t="shared" si="8"/>
        <v>0</v>
      </c>
      <c r="AA17" s="47">
        <f t="shared" si="19"/>
        <v>0</v>
      </c>
      <c r="AB17" s="47">
        <f t="shared" si="9"/>
        <v>0</v>
      </c>
      <c r="AC17" s="47">
        <f t="shared" si="10"/>
        <v>0</v>
      </c>
      <c r="AD17" s="47">
        <f t="shared" si="20"/>
        <v>0</v>
      </c>
      <c r="AE17" s="134">
        <f t="shared" si="21"/>
        <v>0</v>
      </c>
      <c r="AF17" s="47">
        <f t="shared" si="11"/>
        <v>0</v>
      </c>
      <c r="AG17" s="134">
        <f t="shared" si="22"/>
        <v>0</v>
      </c>
      <c r="AH17" s="134">
        <f t="shared" si="12"/>
        <v>0</v>
      </c>
      <c r="AI17" s="47">
        <f t="shared" si="13"/>
        <v>0</v>
      </c>
      <c r="AJ17" s="47">
        <f t="shared" si="14"/>
        <v>0</v>
      </c>
      <c r="AK17" s="47">
        <f t="shared" si="15"/>
        <v>0</v>
      </c>
      <c r="AL17" s="47">
        <f t="shared" si="16"/>
        <v>0</v>
      </c>
      <c r="AN17" s="121">
        <f t="shared" si="23"/>
      </c>
      <c r="AO17" s="135"/>
      <c r="AP17" s="121">
        <f t="shared" si="24"/>
        <v>1</v>
      </c>
      <c r="AQ17" s="172"/>
      <c r="AR17" s="173"/>
      <c r="AS17" s="174">
        <f t="shared" si="25"/>
      </c>
      <c r="BL17" s="47">
        <f>IF(AND(COUNTIF(L15:L15:L15:$L$33,L15)=1,F15+G15&gt;0),L15&amp;"-","")</f>
      </c>
    </row>
    <row r="18" spans="3:64" ht="11.25" thickBot="1">
      <c r="C18" s="70">
        <v>16</v>
      </c>
      <c r="D18" s="71" t="str">
        <f>IF(D9="Spieler 4","Sieger 7",IF(E9="Spieler 12","Sieger 7",IF(D9=E9,"Freilos",IF(E9="Freilos",D9,IF(D9="Freilos",E9,IF(F9&gt;G9,D9,IF(G9&gt;F9,E9,"Sieger 7")))))))</f>
        <v>Freilos</v>
      </c>
      <c r="E18" s="72" t="str">
        <f>IF(D10="Spieler 8","Sieger 8",IF(E10="Spieler 16","Sieger 8",IF(D10=E10,"Freilos",IF(E10="Freilos",D10,IF(D10="Freilos",E10,IF(F10&gt;G10,D10,IF(G10&gt;F10,E10,"Sieger 8")))))))</f>
        <v>Freilos</v>
      </c>
      <c r="F18" s="75"/>
      <c r="G18" s="74"/>
      <c r="H18" s="73"/>
      <c r="I18" s="74"/>
      <c r="J18" s="75"/>
      <c r="K18" s="76"/>
      <c r="L18" s="167"/>
      <c r="M18" s="179"/>
      <c r="N18" s="47">
        <f t="shared" si="0"/>
        <v>0</v>
      </c>
      <c r="O18" s="47">
        <f t="shared" si="1"/>
        <v>0</v>
      </c>
      <c r="P18" s="47">
        <f t="shared" si="2"/>
        <v>0</v>
      </c>
      <c r="Q18" s="47">
        <f t="shared" si="3"/>
        <v>0</v>
      </c>
      <c r="R18" s="47">
        <f t="shared" si="4"/>
        <v>0</v>
      </c>
      <c r="S18" s="47">
        <f t="shared" si="5"/>
        <v>0</v>
      </c>
      <c r="T18" s="47">
        <f t="shared" si="26"/>
        <v>3</v>
      </c>
      <c r="U18" s="133">
        <f t="shared" si="27"/>
        <v>3</v>
      </c>
      <c r="V18" s="47">
        <v>16</v>
      </c>
      <c r="W18" s="47" t="str">
        <f>IF(Auslosung_Turnierdaten!F24="","Spieler 16",Auslosung_Turnierdaten!F24)</f>
        <v>Freilos</v>
      </c>
      <c r="X18" s="47">
        <f t="shared" si="6"/>
        <v>0</v>
      </c>
      <c r="Y18" s="47">
        <f t="shared" si="7"/>
        <v>0</v>
      </c>
      <c r="Z18" s="47">
        <f t="shared" si="8"/>
        <v>0</v>
      </c>
      <c r="AA18" s="47">
        <f t="shared" si="19"/>
        <v>0</v>
      </c>
      <c r="AB18" s="47">
        <f t="shared" si="9"/>
        <v>0</v>
      </c>
      <c r="AC18" s="47">
        <f t="shared" si="10"/>
        <v>0</v>
      </c>
      <c r="AD18" s="47">
        <f t="shared" si="20"/>
        <v>0</v>
      </c>
      <c r="AE18" s="134">
        <f t="shared" si="21"/>
        <v>0</v>
      </c>
      <c r="AF18" s="47">
        <f t="shared" si="11"/>
        <v>0</v>
      </c>
      <c r="AG18" s="134">
        <f t="shared" si="22"/>
        <v>0</v>
      </c>
      <c r="AH18" s="134">
        <f t="shared" si="12"/>
        <v>0</v>
      </c>
      <c r="AI18" s="47">
        <f t="shared" si="13"/>
        <v>0</v>
      </c>
      <c r="AJ18" s="47">
        <f t="shared" si="14"/>
        <v>0</v>
      </c>
      <c r="AK18" s="47">
        <f t="shared" si="15"/>
        <v>0</v>
      </c>
      <c r="AL18" s="47">
        <f t="shared" si="16"/>
        <v>0</v>
      </c>
      <c r="AN18" s="121">
        <f t="shared" si="23"/>
      </c>
      <c r="AO18" s="135"/>
      <c r="AP18" s="121">
        <f t="shared" si="24"/>
        <v>1</v>
      </c>
      <c r="AQ18" s="172"/>
      <c r="AR18" s="173"/>
      <c r="AS18" s="174">
        <f t="shared" si="25"/>
      </c>
      <c r="BL18" s="47">
        <f>IF(AND(COUNTIF(L16:L16:L16:$L$33,L16)=1,F16+G16&gt;0),L16&amp;"-","")</f>
      </c>
    </row>
    <row r="19" spans="2:64" ht="11.25" thickBot="1">
      <c r="B19" s="49" t="s">
        <v>43</v>
      </c>
      <c r="C19" s="53">
        <v>17</v>
      </c>
      <c r="D19" s="77" t="str">
        <f>IF(D11="Verlierer 1","Sieger 9",IF(E11="Verlierer 2","Sieger 9",IF(D11=E11,"Freilos",IF(E11="Freilos",D11,IF(D11="Freilos",E11,IF(F11&gt;G11,D11,IF(G11&gt;F11,E11,"Sieger 9")))))))</f>
        <v>Freilos</v>
      </c>
      <c r="E19" s="78" t="str">
        <f>IF(D18="Sieger 7","Verlierer 16",IF(E18="Sieger 8","Verlierer 16",IF(D18=E18,"Freilos",IF(E18="Freilos",E18,IF(D18="Freilos",D18,IF(F18&gt;G18,E18,IF(G18&gt;F18,D18,"Verlierer 16")))))))</f>
        <v>Freilos</v>
      </c>
      <c r="F19" s="79"/>
      <c r="G19" s="80"/>
      <c r="H19" s="81"/>
      <c r="I19" s="80"/>
      <c r="J19" s="79"/>
      <c r="K19" s="82"/>
      <c r="L19" s="167"/>
      <c r="M19" s="83">
        <f aca="true" t="shared" si="28" ref="M19:M26">IF(F19&gt;G19,E19,IF(F19&lt;G19,D19,""))</f>
      </c>
      <c r="N19" s="47">
        <f t="shared" si="0"/>
        <v>0</v>
      </c>
      <c r="O19" s="47">
        <f t="shared" si="1"/>
        <v>0</v>
      </c>
      <c r="P19" s="47">
        <f t="shared" si="2"/>
        <v>0</v>
      </c>
      <c r="Q19" s="47">
        <f t="shared" si="3"/>
        <v>0</v>
      </c>
      <c r="R19" s="47">
        <f t="shared" si="4"/>
        <v>0</v>
      </c>
      <c r="S19" s="47">
        <f t="shared" si="5"/>
        <v>0</v>
      </c>
      <c r="T19" s="47">
        <f t="shared" si="26"/>
        <v>3</v>
      </c>
      <c r="U19" s="133">
        <f t="shared" si="27"/>
        <v>3</v>
      </c>
      <c r="X19" s="96" t="s">
        <v>39</v>
      </c>
      <c r="Y19" s="97" t="s">
        <v>3</v>
      </c>
      <c r="Z19" s="98" t="s">
        <v>4</v>
      </c>
      <c r="AA19" s="98" t="s">
        <v>8</v>
      </c>
      <c r="AB19" s="98" t="s">
        <v>9</v>
      </c>
      <c r="AC19" s="98" t="s">
        <v>10</v>
      </c>
      <c r="AD19" s="98" t="s">
        <v>11</v>
      </c>
      <c r="AE19" s="98" t="s">
        <v>12</v>
      </c>
      <c r="AF19" s="98" t="str">
        <f>IF(SUM(SP16!AF3:SP16!AI18)&gt;0,"Points","GSp")</f>
        <v>GSp</v>
      </c>
      <c r="AG19" s="98" t="str">
        <f>IF(SUM(SP16!AF3:SP16!AI18)&gt;0,"Aufn","VSp")</f>
        <v>VSp</v>
      </c>
      <c r="AH19" s="99" t="str">
        <f>IF(SUM(SP16!AF3:SP16!AI18)&gt;0,"GD","Quot")</f>
        <v>Quot</v>
      </c>
      <c r="AI19" s="100">
        <f>IF(SUM(SP16!AF3:SP16!AI18)&gt;0,"BED","")</f>
      </c>
      <c r="AJ19" s="101">
        <f>IF(SUM(SP16!AF3:SP16!AI18)&gt;0,"HS","")</f>
      </c>
      <c r="AN19" s="121">
        <f t="shared" si="23"/>
      </c>
      <c r="AO19" s="135"/>
      <c r="AP19" s="121">
        <f t="shared" si="24"/>
        <v>1</v>
      </c>
      <c r="AQ19" s="172"/>
      <c r="AR19" s="173"/>
      <c r="AS19" s="174">
        <f t="shared" si="25"/>
      </c>
      <c r="BL19" s="47">
        <f>IF(AND(COUNTIF(L17:L17:L17:$L$33,L17)=1,F17+G17&gt;0),L17&amp;"-","")</f>
      </c>
    </row>
    <row r="20" spans="3:64" ht="10.5">
      <c r="C20" s="61">
        <v>18</v>
      </c>
      <c r="D20" s="84" t="str">
        <f>IF(D12="Verlierer 3","Sieger 10",IF(E12="Verlierer 4","Sieger 10",IF(D12=E12,"Freilos",IF(E12="Freilos",D12,IF(D12="Freilos",E12,IF(F12&gt;G12,D12,IF(G12&gt;F12,E12,"Sieger 10")))))))</f>
        <v>Freilos</v>
      </c>
      <c r="E20" s="85" t="str">
        <f>IF(D17="Sieger 5","Verlierer 15",IF(E17="Sieger 6","Verlierer 15",IF(D17=E17,"Freilos",IF(E17="Freilos",E17,IF(D17="Freilos",D17,IF(F17&gt;G17,E17,IF(G17&gt;F17,D17,"Verlierer 15")))))))</f>
        <v>Freilos</v>
      </c>
      <c r="F20" s="86"/>
      <c r="G20" s="87"/>
      <c r="H20" s="88"/>
      <c r="I20" s="87"/>
      <c r="J20" s="86"/>
      <c r="K20" s="89"/>
      <c r="L20" s="167"/>
      <c r="M20" s="83">
        <f t="shared" si="28"/>
      </c>
      <c r="N20" s="47">
        <f t="shared" si="0"/>
        <v>0</v>
      </c>
      <c r="O20" s="47">
        <f t="shared" si="1"/>
        <v>0</v>
      </c>
      <c r="P20" s="47">
        <f t="shared" si="2"/>
        <v>0</v>
      </c>
      <c r="Q20" s="47">
        <f t="shared" si="3"/>
        <v>0</v>
      </c>
      <c r="R20" s="47">
        <f t="shared" si="4"/>
        <v>0</v>
      </c>
      <c r="S20" s="47">
        <f t="shared" si="5"/>
        <v>0</v>
      </c>
      <c r="T20" s="47">
        <f t="shared" si="26"/>
        <v>3</v>
      </c>
      <c r="U20" s="133">
        <f t="shared" si="27"/>
        <v>3</v>
      </c>
      <c r="X20" s="102">
        <f>IF(Auslosung_Turnierdaten!F9="","",1)</f>
        <v>1</v>
      </c>
      <c r="Y20" s="103" t="str">
        <f>IF(SP16!X20="","",Auslosung_Turnierdaten!F9)</f>
        <v>Freilos</v>
      </c>
      <c r="Z20" s="104">
        <f>IF(SP16!X20="","",Auslosung_Turnierdaten!G9)</f>
        <v>0</v>
      </c>
      <c r="AA20" s="104">
        <f>IF(SP16!X20="","",Auslosung_Turnierdaten!H9)</f>
        <v>0</v>
      </c>
      <c r="AB20" s="104">
        <f>IF(SP16!X20="","",Auslosung_Turnierdaten!I9)</f>
        <v>0</v>
      </c>
      <c r="AC20" s="105">
        <f>IF(SP16!X20="","",SP16!X3)</f>
        <v>0</v>
      </c>
      <c r="AD20" s="105">
        <f>IF(SP16!X20="","",SP16!Z3)</f>
        <v>0</v>
      </c>
      <c r="AE20" s="105">
        <f>IF(SP16!X20="","",SP16!AA3)</f>
        <v>0</v>
      </c>
      <c r="AF20" s="105">
        <f>IF(SP16!X20="","",SP16!AC3)</f>
        <v>0</v>
      </c>
      <c r="AG20" s="105">
        <f>IF(SP16!X20="","",IF($AG$19="VSp",SP16!AD3,SP16!AF3))</f>
        <v>0</v>
      </c>
      <c r="AH20" s="106">
        <f>IF(SP16!X20="","",IF($AH$19="Quot",SP16!AE3,SP16!AG3))</f>
        <v>0</v>
      </c>
      <c r="AI20" s="106">
        <f>IF($AI$19="BED",SP16!AH3,"")</f>
      </c>
      <c r="AJ20" s="111">
        <f>IF($AJ$19="HS",SP16!AI3,"")</f>
      </c>
      <c r="AN20" s="121">
        <f t="shared" si="23"/>
      </c>
      <c r="AO20" s="135"/>
      <c r="AP20" s="121">
        <f t="shared" si="24"/>
        <v>1</v>
      </c>
      <c r="AQ20" s="172"/>
      <c r="AR20" s="173"/>
      <c r="AS20" s="174">
        <f t="shared" si="25"/>
      </c>
      <c r="BL20" s="47">
        <f>IF(AND(COUNTIF(L18:L18:L18:$L$33,L18)=1,F18+G18&gt;0),L18&amp;"-","")</f>
      </c>
    </row>
    <row r="21" spans="3:64" ht="10.5">
      <c r="C21" s="61">
        <v>19</v>
      </c>
      <c r="D21" s="84" t="str">
        <f>IF(D13="Verlierer 5","Sieger 11",IF(E13="Verlierer 6","Sieger 11",IF(D13=E13,"Freilos",IF(E13="Freilos",D13,IF(D13="Freilos",E13,IF(F13&gt;G13,D13,IF(G13&gt;F13,E13,"Sieger 11")))))))</f>
        <v>Freilos</v>
      </c>
      <c r="E21" s="85" t="str">
        <f>IF(D16="Sieger 3","Verlierer 14",IF(E16="Sieger 4","Verlierer 14",IF(D16=E16,"Freilos",IF(E16="Freilos",E16,IF(D16="Freilos",D16,IF(F16&gt;G16,E16,IF(G16&gt;F16,D16,"Verlierer 14")))))))</f>
        <v>Freilos</v>
      </c>
      <c r="F21" s="86"/>
      <c r="G21" s="87"/>
      <c r="H21" s="88"/>
      <c r="I21" s="87"/>
      <c r="J21" s="86"/>
      <c r="K21" s="89"/>
      <c r="L21" s="167"/>
      <c r="M21" s="83">
        <f t="shared" si="28"/>
      </c>
      <c r="N21" s="47">
        <f t="shared" si="0"/>
        <v>0</v>
      </c>
      <c r="O21" s="47">
        <f t="shared" si="1"/>
        <v>0</v>
      </c>
      <c r="P21" s="47">
        <f t="shared" si="2"/>
        <v>0</v>
      </c>
      <c r="Q21" s="47">
        <f t="shared" si="3"/>
        <v>0</v>
      </c>
      <c r="R21" s="47">
        <f t="shared" si="4"/>
        <v>0</v>
      </c>
      <c r="S21" s="47">
        <f t="shared" si="5"/>
        <v>0</v>
      </c>
      <c r="T21" s="47">
        <f t="shared" si="26"/>
        <v>3</v>
      </c>
      <c r="U21" s="133">
        <f t="shared" si="27"/>
        <v>3</v>
      </c>
      <c r="X21" s="102">
        <f>IF(Auslosung_Turnierdaten!F10="","",2)</f>
        <v>2</v>
      </c>
      <c r="Y21" s="107" t="str">
        <f>IF(SP16!X21="","",Auslosung_Turnierdaten!F10)</f>
        <v>Freilos</v>
      </c>
      <c r="Z21" s="108">
        <f>IF(SP16!X21="","",Auslosung_Turnierdaten!G10)</f>
        <v>0</v>
      </c>
      <c r="AA21" s="108">
        <f>IF(SP16!X21="","",Auslosung_Turnierdaten!H10)</f>
        <v>0</v>
      </c>
      <c r="AB21" s="108">
        <f>IF(SP16!X21="","",Auslosung_Turnierdaten!I10)</f>
        <v>0</v>
      </c>
      <c r="AC21" s="109">
        <f>IF(SP16!X21="","",SP16!X4)</f>
        <v>0</v>
      </c>
      <c r="AD21" s="109">
        <f>IF(SP16!X21="","",SP16!Z4)</f>
        <v>0</v>
      </c>
      <c r="AE21" s="109">
        <f>IF(SP16!X21="","",SP16!AA4)</f>
        <v>0</v>
      </c>
      <c r="AF21" s="109">
        <f>IF(SP16!X21="","",SP16!AC4)</f>
        <v>0</v>
      </c>
      <c r="AG21" s="109">
        <f>IF(SP16!X21="","",IF($AG$19="VSp",SP16!AD4,SP16!AF4))</f>
        <v>0</v>
      </c>
      <c r="AH21" s="110">
        <f>IF(SP16!X21="","",IF($AH$19="Quot",SP16!AE4,SP16!AG4))</f>
        <v>0</v>
      </c>
      <c r="AI21" s="110">
        <f>IF($AI$19="BED",SP16!AH4,"")</f>
      </c>
      <c r="AJ21" s="111">
        <f>IF($AJ$19="HS",SP16!AI4,"")</f>
      </c>
      <c r="AN21" s="121">
        <f t="shared" si="23"/>
      </c>
      <c r="AO21" s="135"/>
      <c r="AP21" s="121">
        <f t="shared" si="24"/>
        <v>1</v>
      </c>
      <c r="AQ21" s="172"/>
      <c r="AR21" s="173"/>
      <c r="AS21" s="174">
        <f t="shared" si="25"/>
      </c>
      <c r="BL21" s="47">
        <f>IF(AND(COUNTIF(L19:L19:L19:$L$33,L19)=1,F19+G19&gt;0),L19&amp;"-","")</f>
      </c>
    </row>
    <row r="22" spans="3:64" ht="11.25" thickBot="1">
      <c r="C22" s="70">
        <v>20</v>
      </c>
      <c r="D22" s="90" t="str">
        <f>IF(D14="Verlierer 7","Sieger 12",IF(E14="Verlierer 8","Sieger 12",IF(D14=E14,"Freilos",IF(E14="Freilos",D14,IF(D14="Freilos",E14,IF(F14&gt;G14,D14,IF(G14&gt;F14,E14,"Sieger 12")))))))</f>
        <v>Freilos</v>
      </c>
      <c r="E22" s="91" t="str">
        <f>IF(D15="Sieger 1","Verlierer 13",IF(E15="Sieger 2","Verlierer 13",IF(D15=E15,"Freilos",IF(E15="Freilos",E15,IF(D15="Freilos",D15,IF(F15&gt;G15,E15,IF(G15&gt;F15,D15,"Verlierer 13")))))))</f>
        <v>Freilos</v>
      </c>
      <c r="F22" s="94"/>
      <c r="G22" s="93"/>
      <c r="H22" s="92"/>
      <c r="I22" s="93"/>
      <c r="J22" s="94"/>
      <c r="K22" s="95"/>
      <c r="L22" s="167"/>
      <c r="M22" s="83">
        <f t="shared" si="28"/>
      </c>
      <c r="N22" s="47">
        <f t="shared" si="0"/>
        <v>0</v>
      </c>
      <c r="O22" s="47">
        <f t="shared" si="1"/>
        <v>0</v>
      </c>
      <c r="P22" s="47">
        <f t="shared" si="2"/>
        <v>0</v>
      </c>
      <c r="Q22" s="47">
        <f t="shared" si="3"/>
        <v>0</v>
      </c>
      <c r="R22" s="47">
        <f t="shared" si="4"/>
        <v>0</v>
      </c>
      <c r="S22" s="47">
        <f t="shared" si="5"/>
        <v>0</v>
      </c>
      <c r="T22" s="47">
        <f t="shared" si="26"/>
        <v>3</v>
      </c>
      <c r="U22" s="133">
        <f t="shared" si="27"/>
        <v>3</v>
      </c>
      <c r="X22" s="102">
        <f>IF(Auslosung_Turnierdaten!F11="","",3)</f>
        <v>3</v>
      </c>
      <c r="Y22" s="107" t="str">
        <f>IF(SP16!X22="","",Auslosung_Turnierdaten!F11)</f>
        <v>Freilos</v>
      </c>
      <c r="Z22" s="108">
        <f>IF(SP16!X22="","",Auslosung_Turnierdaten!G11)</f>
        <v>0</v>
      </c>
      <c r="AA22" s="108">
        <f>IF(SP16!X22="","",Auslosung_Turnierdaten!H11)</f>
        <v>0</v>
      </c>
      <c r="AB22" s="108">
        <f>IF(SP16!X22="","",Auslosung_Turnierdaten!I11)</f>
        <v>0</v>
      </c>
      <c r="AC22" s="109">
        <f>IF(SP16!X22="","",SP16!X5)</f>
        <v>0</v>
      </c>
      <c r="AD22" s="109">
        <f>IF(SP16!X22="","",SP16!Z5)</f>
        <v>0</v>
      </c>
      <c r="AE22" s="109">
        <f>IF(SP16!X22="","",SP16!AA5)</f>
        <v>0</v>
      </c>
      <c r="AF22" s="109">
        <f>IF(SP16!X22="","",SP16!AC5)</f>
        <v>0</v>
      </c>
      <c r="AG22" s="109">
        <f>IF(SP16!X22="","",IF($AG$19="VSp",SP16!AD5,SP16!AF5))</f>
        <v>0</v>
      </c>
      <c r="AH22" s="110">
        <f>IF(SP16!X22="","",IF($AH$19="Quot",SP16!AE5,SP16!AG5))</f>
        <v>0</v>
      </c>
      <c r="AI22" s="110">
        <f>IF($AI$19="BED",SP16!AH5,"")</f>
      </c>
      <c r="AJ22" s="111">
        <f>IF($AJ$19="HS",SP16!AI5,"")</f>
      </c>
      <c r="AN22" s="121">
        <f t="shared" si="23"/>
      </c>
      <c r="AO22" s="137"/>
      <c r="AP22" s="121">
        <f t="shared" si="24"/>
        <v>1</v>
      </c>
      <c r="AQ22" s="172"/>
      <c r="AR22" s="173"/>
      <c r="AS22" s="174">
        <f t="shared" si="25"/>
      </c>
      <c r="BL22" s="47">
        <f>IF(AND(COUNTIF(L20:L20:L20:$L$33,L20)=1,F20+G20&gt;0),L20&amp;"-","")</f>
      </c>
    </row>
    <row r="23" spans="2:64" ht="11.25" thickBot="1">
      <c r="B23" s="52" t="s">
        <v>110</v>
      </c>
      <c r="C23" s="53">
        <v>21</v>
      </c>
      <c r="D23" s="54" t="str">
        <f>IF(D15="Sieger 1","Sieger 13",IF(E15="Sieger 2","Sieger 13",IF(D15=E15,"Freilos",IF(E15="Freilos",D15,IF(D15="Freilos",E15,IF(F15&gt;G15,D15,IF(G15&gt;F15,E15,"Sieger 13")))))))</f>
        <v>Freilos</v>
      </c>
      <c r="E23" s="214" t="s">
        <v>109</v>
      </c>
      <c r="F23" s="56"/>
      <c r="G23" s="57"/>
      <c r="H23" s="58"/>
      <c r="I23" s="57"/>
      <c r="J23" s="56"/>
      <c r="K23" s="59"/>
      <c r="L23" s="167"/>
      <c r="M23" s="83">
        <f t="shared" si="28"/>
      </c>
      <c r="N23" s="47">
        <f t="shared" si="0"/>
        <v>0</v>
      </c>
      <c r="O23" s="47">
        <f t="shared" si="1"/>
        <v>0</v>
      </c>
      <c r="P23" s="47">
        <f>IF(D48="Freilos",0,IF(F23&lt;G23,1,IF(F23&gt;G23,1,0)))</f>
        <v>0</v>
      </c>
      <c r="Q23" s="47">
        <f>IF(D46="Freilos",0,IF(F23&lt;G23,1,IF(F23&gt;G23,1,0)))</f>
        <v>0</v>
      </c>
      <c r="R23" s="47">
        <f>IF(D48="Freilos",0,IF(F23&gt;G23,1,0))</f>
        <v>0</v>
      </c>
      <c r="S23" s="47">
        <f>IF(D46="Freilos",0,IF(G23&gt;F23,1,0))</f>
        <v>0</v>
      </c>
      <c r="T23" s="47">
        <f t="shared" si="26"/>
        <v>0</v>
      </c>
      <c r="U23" s="133">
        <f t="shared" si="27"/>
        <v>3</v>
      </c>
      <c r="X23" s="102">
        <f>IF(Auslosung_Turnierdaten!F12="","",4)</f>
        <v>4</v>
      </c>
      <c r="Y23" s="107" t="str">
        <f>IF(SP16!X23="","",Auslosung_Turnierdaten!F12)</f>
        <v>Freilos</v>
      </c>
      <c r="Z23" s="108">
        <f>IF(SP16!X23="","",Auslosung_Turnierdaten!G12)</f>
        <v>0</v>
      </c>
      <c r="AA23" s="108">
        <f>IF(SP16!X23="","",Auslosung_Turnierdaten!H12)</f>
        <v>0</v>
      </c>
      <c r="AB23" s="108">
        <f>IF(SP16!X23="","",Auslosung_Turnierdaten!I12)</f>
        <v>0</v>
      </c>
      <c r="AC23" s="109">
        <f>IF(SP16!X23="","",SP16!X6)</f>
        <v>0</v>
      </c>
      <c r="AD23" s="109">
        <f>IF(SP16!X23="","",SP16!Z6)</f>
        <v>0</v>
      </c>
      <c r="AE23" s="109">
        <f>IF(SP16!X23="","",SP16!AA6)</f>
        <v>0</v>
      </c>
      <c r="AF23" s="109">
        <f>IF(SP16!X23="","",SP16!AC6)</f>
        <v>0</v>
      </c>
      <c r="AG23" s="109">
        <f>IF(SP16!X23="","",IF($AG$19="VSp",SP16!AD6,SP16!AF6))</f>
        <v>0</v>
      </c>
      <c r="AH23" s="110">
        <f>IF(SP16!X23="","",IF($AH$19="Quot",SP16!AE6,SP16!AG6))</f>
        <v>0</v>
      </c>
      <c r="AI23" s="110">
        <f>IF($AI$19="BED",SP16!AH6,"")</f>
      </c>
      <c r="AJ23" s="111">
        <f>IF($AJ$19="HS",SP16!AI6,"")</f>
      </c>
      <c r="AN23" s="121">
        <f t="shared" si="23"/>
      </c>
      <c r="AO23" s="135"/>
      <c r="AP23" s="121">
        <f>IF(OR(D46="Freilos",D48="Freilos"),1,"")</f>
        <v>1</v>
      </c>
      <c r="AQ23" s="172"/>
      <c r="AR23" s="173"/>
      <c r="AS23" s="174">
        <f t="shared" si="25"/>
      </c>
      <c r="BL23" s="47">
        <f>IF(AND(COUNTIF(L21:L21:L21:$L$33,L21)=1,F21+G21&gt;0),L21&amp;"-","")</f>
      </c>
    </row>
    <row r="24" spans="3:64" ht="10.5">
      <c r="C24" s="61">
        <v>22</v>
      </c>
      <c r="D24" s="62" t="str">
        <f>IF(D16="Sieger 3","Sieger 14",IF(E16="Sieger 4","Sieger 14",IF(D16=E16,"Freilos",IF(E16="Freilos",D16,IF(D16="Freilos",E16,IF(F16&gt;G16,D16,IF(G16&gt;F16,E16,"Sieger 14")))))))</f>
        <v>Freilos</v>
      </c>
      <c r="E24" s="215" t="s">
        <v>109</v>
      </c>
      <c r="F24" s="64"/>
      <c r="G24" s="65"/>
      <c r="H24" s="66"/>
      <c r="I24" s="65"/>
      <c r="J24" s="64"/>
      <c r="K24" s="67"/>
      <c r="L24" s="167"/>
      <c r="M24" s="83">
        <f t="shared" si="28"/>
      </c>
      <c r="N24" s="47">
        <f t="shared" si="0"/>
        <v>0</v>
      </c>
      <c r="O24" s="47">
        <f t="shared" si="1"/>
        <v>0</v>
      </c>
      <c r="P24" s="47">
        <f>IF(D49="Freilos",0,IF(F24&lt;G24,1,IF(F24&gt;G24,1,0)))</f>
        <v>0</v>
      </c>
      <c r="Q24" s="47">
        <f>IF(D47="Freilos",0,IF(F24&lt;G24,1,IF(F24&gt;G24,1,0)))</f>
        <v>0</v>
      </c>
      <c r="R24" s="47">
        <f>IF(D49="Freilos",0,IF(F24&gt;G24,1,0))</f>
        <v>0</v>
      </c>
      <c r="S24" s="47">
        <f>IF(D47="Freilos",0,IF(G24&gt;F24,1,0))</f>
        <v>0</v>
      </c>
      <c r="T24" s="47">
        <f t="shared" si="26"/>
        <v>0</v>
      </c>
      <c r="U24" s="133">
        <f t="shared" si="27"/>
        <v>3</v>
      </c>
      <c r="X24" s="102">
        <f>IF(Auslosung_Turnierdaten!F13="","",5)</f>
        <v>5</v>
      </c>
      <c r="Y24" s="107" t="str">
        <f>IF(SP16!X24="","",Auslosung_Turnierdaten!F13)</f>
        <v>Freilos</v>
      </c>
      <c r="Z24" s="108">
        <f>IF(SP16!X24="","",Auslosung_Turnierdaten!G13)</f>
        <v>0</v>
      </c>
      <c r="AA24" s="108">
        <f>IF(SP16!X24="","",Auslosung_Turnierdaten!H13)</f>
        <v>0</v>
      </c>
      <c r="AB24" s="108">
        <f>IF(SP16!X24="","",Auslosung_Turnierdaten!I13)</f>
        <v>0</v>
      </c>
      <c r="AC24" s="109">
        <f>IF(SP16!X24="","",SP16!X7)</f>
        <v>0</v>
      </c>
      <c r="AD24" s="109">
        <f>IF(SP16!X24="","",SP16!Z7)</f>
        <v>0</v>
      </c>
      <c r="AE24" s="109">
        <f>IF(SP16!X24="","",SP16!AA7)</f>
        <v>0</v>
      </c>
      <c r="AF24" s="109">
        <f>IF(SP16!X24="","",SP16!AC7)</f>
        <v>0</v>
      </c>
      <c r="AG24" s="109">
        <f>IF(SP16!X24="","",IF($AG$19="VSp",SP16!AD7,SP16!AF7))</f>
        <v>0</v>
      </c>
      <c r="AH24" s="110">
        <f>IF(SP16!X24="","",IF($AH$19="Quot",SP16!AE7,SP16!AG7))</f>
        <v>0</v>
      </c>
      <c r="AI24" s="110">
        <f>IF($AI$19="BED",SP16!AH7,"")</f>
      </c>
      <c r="AJ24" s="111">
        <f>IF($AJ$19="HS",SP16!AI7,"")</f>
      </c>
      <c r="AN24" s="121">
        <f t="shared" si="23"/>
      </c>
      <c r="AO24" s="135"/>
      <c r="AP24" s="121">
        <f>IF(OR(D47="Freilos",D49="Freilos"),1,"")</f>
        <v>1</v>
      </c>
      <c r="AQ24" s="172"/>
      <c r="AR24" s="173"/>
      <c r="AS24" s="174">
        <f t="shared" si="25"/>
      </c>
      <c r="BL24" s="47">
        <f>IF(AND(COUNTIF(L22:L22:L22:$L$33,L22)=1,F22+G22&gt;0),L22&amp;"-","")</f>
      </c>
    </row>
    <row r="25" spans="3:64" ht="10.5">
      <c r="C25" s="61">
        <v>23</v>
      </c>
      <c r="D25" s="62" t="str">
        <f>IF(D17="Sieger 5","Sieger 15",IF(E17="Sieger 6","Sieger 15",IF(D17=E17,"Freilos",IF(E17="Freilos",D17,IF(D17="Freilos",E17,IF(F17&gt;G17,D17,IF(G17&gt;F17,E17,"Sieger 15")))))))</f>
        <v>Freilos</v>
      </c>
      <c r="E25" s="215" t="s">
        <v>109</v>
      </c>
      <c r="F25" s="64"/>
      <c r="G25" s="65"/>
      <c r="H25" s="66"/>
      <c r="I25" s="65"/>
      <c r="J25" s="64"/>
      <c r="K25" s="67"/>
      <c r="L25" s="167"/>
      <c r="M25" s="83">
        <f t="shared" si="28"/>
      </c>
      <c r="N25" s="47">
        <f t="shared" si="0"/>
        <v>0</v>
      </c>
      <c r="O25" s="47">
        <f t="shared" si="1"/>
        <v>0</v>
      </c>
      <c r="P25" s="47">
        <f>IF(D24="Freilos",0,IF(F25&lt;G25,1,IF(F25&gt;G25,1,0)))</f>
        <v>0</v>
      </c>
      <c r="Q25" s="47">
        <f>IF(D23="Freilos",0,IF(F25&lt;G25,1,IF(F25&gt;G25,1,0)))</f>
        <v>0</v>
      </c>
      <c r="R25" s="47">
        <f>IF(D24="Freilos",0,IF(F25&gt;G25,1,0))</f>
        <v>0</v>
      </c>
      <c r="S25" s="47">
        <f>IF(D23="Freilos",0,IF(G25&gt;F25,1,0))</f>
        <v>0</v>
      </c>
      <c r="T25" s="47">
        <f t="shared" si="26"/>
        <v>0</v>
      </c>
      <c r="U25" s="133">
        <f t="shared" si="27"/>
        <v>3</v>
      </c>
      <c r="X25" s="102">
        <f>IF(Auslosung_Turnierdaten!F14="","",6)</f>
        <v>6</v>
      </c>
      <c r="Y25" s="107" t="str">
        <f>IF(SP16!X25="","",Auslosung_Turnierdaten!F14)</f>
        <v>Freilos</v>
      </c>
      <c r="Z25" s="108">
        <f>IF(SP16!X25="","",Auslosung_Turnierdaten!G14)</f>
        <v>0</v>
      </c>
      <c r="AA25" s="108">
        <f>IF(SP16!X25="","",Auslosung_Turnierdaten!H14)</f>
        <v>0</v>
      </c>
      <c r="AB25" s="108">
        <f>IF(SP16!X25="","",Auslosung_Turnierdaten!I14)</f>
        <v>0</v>
      </c>
      <c r="AC25" s="109">
        <f>IF(SP16!X25="","",SP16!X8)</f>
        <v>0</v>
      </c>
      <c r="AD25" s="109">
        <f>IF(SP16!X25="","",SP16!Z8)</f>
        <v>0</v>
      </c>
      <c r="AE25" s="109">
        <f>IF(SP16!X25="","",SP16!AA8)</f>
        <v>0</v>
      </c>
      <c r="AF25" s="109">
        <f>IF(SP16!X25="","",SP16!AC8)</f>
        <v>0</v>
      </c>
      <c r="AG25" s="109">
        <f>IF(SP16!X25="","",IF($AG$19="VSp",SP16!AD8,SP16!AF8))</f>
        <v>0</v>
      </c>
      <c r="AH25" s="110">
        <f>IF(SP16!X25="","",IF($AH$19="Quot",SP16!AE8,SP16!AG8))</f>
        <v>0</v>
      </c>
      <c r="AI25" s="110">
        <f>IF($AI$19="BED",SP16!AH8,"")</f>
      </c>
      <c r="AJ25" s="111">
        <f>IF($AJ$19="HS",SP16!AI8,"")</f>
      </c>
      <c r="AN25" s="121">
        <f t="shared" si="23"/>
      </c>
      <c r="AO25" s="135"/>
      <c r="AP25" s="121">
        <f>IF(OR(D23="Freilos",D24="Freilos"),1,"")</f>
        <v>1</v>
      </c>
      <c r="AQ25" s="172"/>
      <c r="AR25" s="173"/>
      <c r="AS25" s="174">
        <f t="shared" si="25"/>
      </c>
      <c r="BL25" s="47">
        <f>IF(AND(COUNTIF(L23:L23:L23:$L$33,L23)=1,F23+G23&gt;0),L23&amp;"-","")</f>
      </c>
    </row>
    <row r="26" spans="3:64" ht="11.25" thickBot="1">
      <c r="C26" s="70">
        <v>24</v>
      </c>
      <c r="D26" s="71" t="str">
        <f>IF(D18="Sieger 7","Sieger 16",IF(E18="Sieger 8","Sieger 16",IF(D18=E18,"Freilos",IF(E18="Freilos",D18,IF(D18="Freilos",E18,IF(F18&gt;G18,D18,IF(G18&gt;F18,E18,"Sieger 16")))))))</f>
        <v>Freilos</v>
      </c>
      <c r="E26" s="216" t="s">
        <v>109</v>
      </c>
      <c r="F26" s="75"/>
      <c r="G26" s="74"/>
      <c r="H26" s="73"/>
      <c r="I26" s="74"/>
      <c r="J26" s="75"/>
      <c r="K26" s="76"/>
      <c r="L26" s="167"/>
      <c r="M26" s="83">
        <f t="shared" si="28"/>
      </c>
      <c r="N26" s="47">
        <f t="shared" si="0"/>
        <v>0</v>
      </c>
      <c r="O26" s="47">
        <f t="shared" si="1"/>
        <v>0</v>
      </c>
      <c r="P26" s="47">
        <f>IF(D26="Freilos",0,IF(F26&lt;G26,1,IF(F26&gt;G26,1,0)))</f>
        <v>0</v>
      </c>
      <c r="Q26" s="47">
        <f>IF(D25="Freilos",0,IF(F26&lt;G26,1,IF(F26&gt;G26,1,0)))</f>
        <v>0</v>
      </c>
      <c r="R26" s="47">
        <f>IF(D26="Freilos",0,IF(F26&gt;G26,1,0))</f>
        <v>0</v>
      </c>
      <c r="S26" s="47">
        <f>IF(D25="Freilos",0,IF(G26&gt;F26,1,0))</f>
        <v>0</v>
      </c>
      <c r="T26" s="47">
        <f t="shared" si="26"/>
        <v>0</v>
      </c>
      <c r="U26" s="133">
        <f t="shared" si="27"/>
        <v>3</v>
      </c>
      <c r="X26" s="102">
        <f>IF(Auslosung_Turnierdaten!F15="","",7)</f>
        <v>7</v>
      </c>
      <c r="Y26" s="107" t="str">
        <f>IF(SP16!X26="","",Auslosung_Turnierdaten!F15)</f>
        <v>Freilos</v>
      </c>
      <c r="Z26" s="108">
        <f>IF(SP16!X26="","",Auslosung_Turnierdaten!G15)</f>
        <v>0</v>
      </c>
      <c r="AA26" s="108">
        <f>IF(SP16!X26="","",Auslosung_Turnierdaten!H15)</f>
        <v>0</v>
      </c>
      <c r="AB26" s="108">
        <f>IF(SP16!X26="","",Auslosung_Turnierdaten!I15)</f>
        <v>0</v>
      </c>
      <c r="AC26" s="109">
        <f>IF(SP16!X26="","",SP16!X9)</f>
        <v>0</v>
      </c>
      <c r="AD26" s="109">
        <f>IF(SP16!X26="","",SP16!Z9)</f>
        <v>0</v>
      </c>
      <c r="AE26" s="109">
        <f>IF(SP16!X26="","",SP16!AA9)</f>
        <v>0</v>
      </c>
      <c r="AF26" s="109">
        <f>IF(SP16!X26="","",SP16!AC9)</f>
        <v>0</v>
      </c>
      <c r="AG26" s="109">
        <f>IF(SP16!X26="","",IF($AG$19="VSp",SP16!AD9,SP16!AF9))</f>
        <v>0</v>
      </c>
      <c r="AH26" s="110">
        <f>IF(SP16!X26="","",IF($AH$19="Quot",SP16!AE9,SP16!AG9))</f>
        <v>0</v>
      </c>
      <c r="AI26" s="110">
        <f>IF($AI$19="BED",SP16!AH9,"")</f>
      </c>
      <c r="AJ26" s="111">
        <f>IF($AJ$19="HS",SP16!AI9,"")</f>
      </c>
      <c r="AN26" s="121">
        <f t="shared" si="23"/>
      </c>
      <c r="AO26" s="135"/>
      <c r="AP26" s="121">
        <f>IF(OR(D25="Freilos",D26="Freilos"),1,"")</f>
        <v>1</v>
      </c>
      <c r="AQ26" s="172"/>
      <c r="AR26" s="173"/>
      <c r="AS26" s="174">
        <f t="shared" si="25"/>
      </c>
      <c r="BL26" s="47">
        <f>IF(AND(COUNTIF(L24:L24:L24:$L$33,L24)=1,F24+G24&gt;0),L24&amp;"-","")</f>
      </c>
    </row>
    <row r="27" spans="2:64" ht="11.25" thickBot="1">
      <c r="B27" s="52" t="s">
        <v>111</v>
      </c>
      <c r="C27" s="53">
        <v>25</v>
      </c>
      <c r="D27" s="54" t="str">
        <f>IF(D23="Sieger 13","Sieger 21",IF(E23="Sieger 17-20","Sieger 21",IF(D23=E23,"Freilos",IF(E23="Freilos",D23,IF(D23="Freilos",E23,IF(F23&gt;G23,D23,IF(G23&gt;F23,E23,"Sieger 21")))))))</f>
        <v>Sieger 21</v>
      </c>
      <c r="E27" s="55" t="str">
        <f>IF(D24="Sieger 14","Sieger 22",IF(E24="Sieger 17-20","Sieger 22",IF(D24=E24,"Freilos",IF(E24="Freilos",D24,IF(D24="Freilos",E24,IF(F24&gt;G24,D24,IF(G24&gt;F24,E24,"Sieger 22")))))))</f>
        <v>Sieger 22</v>
      </c>
      <c r="F27" s="56"/>
      <c r="G27" s="57"/>
      <c r="H27" s="58"/>
      <c r="I27" s="57"/>
      <c r="J27" s="56"/>
      <c r="K27" s="59"/>
      <c r="L27" s="167"/>
      <c r="M27" s="83"/>
      <c r="N27" s="47">
        <f t="shared" si="0"/>
        <v>0</v>
      </c>
      <c r="O27" s="47">
        <f t="shared" si="1"/>
        <v>0</v>
      </c>
      <c r="P27" s="47">
        <f>IF(E37="Freilos",0,IF(F27&lt;G27,1,IF(F27&gt;G27,1,0)))</f>
        <v>0</v>
      </c>
      <c r="Q27" s="47">
        <f>IF(D37="Freilos",0,IF(F27&lt;G27,1,IF(F27&gt;G27,1,0)))</f>
        <v>0</v>
      </c>
      <c r="R27" s="47">
        <f>IF(E37="Freilos",0,IF(F27&gt;G27,1,0))</f>
        <v>0</v>
      </c>
      <c r="S27" s="47">
        <f>IF(D37="Freilos",0,IF(G27&gt;F27,1,0))</f>
        <v>0</v>
      </c>
      <c r="T27" s="47">
        <f>IF(E37="Freilos",6,IF(F27&gt;G27,6,0))</f>
        <v>0</v>
      </c>
      <c r="U27" s="133">
        <f>IF(D37="Freilos",6,IF(G27&gt;F27,6,0))</f>
        <v>0</v>
      </c>
      <c r="X27" s="102">
        <f>IF(Auslosung_Turnierdaten!F16="","",8)</f>
        <v>8</v>
      </c>
      <c r="Y27" s="107" t="str">
        <f>IF(SP16!X27="","",Auslosung_Turnierdaten!F16)</f>
        <v>Freilos</v>
      </c>
      <c r="Z27" s="108">
        <f>IF(SP16!X27="","",Auslosung_Turnierdaten!G16)</f>
        <v>0</v>
      </c>
      <c r="AA27" s="108">
        <f>IF(SP16!X27="","",Auslosung_Turnierdaten!H16)</f>
        <v>0</v>
      </c>
      <c r="AB27" s="108">
        <f>IF(SP16!X27="","",Auslosung_Turnierdaten!I16)</f>
        <v>0</v>
      </c>
      <c r="AC27" s="109">
        <f>IF(SP16!X27="","",SP16!X10)</f>
        <v>0</v>
      </c>
      <c r="AD27" s="109">
        <f>IF(SP16!X27="","",SP16!Z10)</f>
        <v>0</v>
      </c>
      <c r="AE27" s="109">
        <f>IF(SP16!X27="","",SP16!AA10)</f>
        <v>0</v>
      </c>
      <c r="AF27" s="109">
        <f>IF(SP16!X27="","",SP16!AC10)</f>
        <v>0</v>
      </c>
      <c r="AG27" s="109">
        <f>IF(SP16!X27="","",IF($AG$19="VSp",SP16!AD10,SP16!AF10))</f>
        <v>0</v>
      </c>
      <c r="AH27" s="110">
        <f>IF(SP16!X27="","",IF($AH$19="Quot",SP16!AE10,SP16!AG10))</f>
        <v>0</v>
      </c>
      <c r="AI27" s="110">
        <f>IF($AI$19="BED",SP16!AH10,"")</f>
      </c>
      <c r="AJ27" s="111">
        <f>IF($AJ$19="HS",SP16!AI10,"")</f>
      </c>
      <c r="AN27" s="121">
        <f t="shared" si="23"/>
        <v>0</v>
      </c>
      <c r="AO27" s="135"/>
      <c r="AP27" s="121">
        <f aca="true" t="shared" si="29" ref="AP27:AP33">IF(OR(D37="Freilos",E37="Freilos"),1,"")</f>
      </c>
      <c r="AQ27" s="172"/>
      <c r="AR27" s="173"/>
      <c r="AS27" s="174">
        <f t="shared" si="25"/>
      </c>
      <c r="BL27" s="47">
        <f>IF(AND(COUNTIF(L25:L25:L25:$L$33,L25)=1,F25+G25&gt;0),L25&amp;"-","")</f>
      </c>
    </row>
    <row r="28" spans="3:64" ht="11.25" thickBot="1">
      <c r="C28" s="70">
        <v>26</v>
      </c>
      <c r="D28" s="71" t="str">
        <f>IF(D25="Sieger 15","Sieger 23",IF(E25="Sieger 17-20","Sieger 23",IF(D25=E25,"Freilos",IF(E25="Freilos",D25,IF(D25="Freilos",E25,IF(F25&gt;G25,D25,IF(G25&gt;F25,E25,"Sieger 23")))))))</f>
        <v>Sieger 23</v>
      </c>
      <c r="E28" s="72" t="str">
        <f>IF(D26="Sieger 16","Sieger 24",IF(E26="Sieger 17-20","Sieger 24",IF(D26=E26,"Freilos",IF(E26="Freilos",D26,IF(D26="Freilos",E26,IF(F26&gt;G26,D26,IF(G26&gt;F26,E26,"Sieger 24")))))))</f>
        <v>Sieger 24</v>
      </c>
      <c r="F28" s="75"/>
      <c r="G28" s="74"/>
      <c r="H28" s="73"/>
      <c r="I28" s="74"/>
      <c r="J28" s="75"/>
      <c r="K28" s="76"/>
      <c r="L28" s="167"/>
      <c r="M28" s="83"/>
      <c r="N28" s="47">
        <f t="shared" si="0"/>
        <v>0</v>
      </c>
      <c r="O28" s="47">
        <f t="shared" si="1"/>
        <v>0</v>
      </c>
      <c r="P28" s="47">
        <f>IF(E38="Freilos",0,IF(F28&lt;G28,1,IF(F28&gt;G28,1,0)))</f>
        <v>0</v>
      </c>
      <c r="Q28" s="47">
        <f>IF(D38="Freilos",0,IF(F28&lt;G28,1,IF(F28&gt;G28,1,0)))</f>
        <v>0</v>
      </c>
      <c r="R28" s="47">
        <f>IF(E38="Freilos",0,IF(F28&gt;G28,1,0))</f>
        <v>0</v>
      </c>
      <c r="S28" s="47">
        <f>IF(D38="Freilos",0,IF(G28&gt;F28,1,0))</f>
        <v>0</v>
      </c>
      <c r="T28" s="47">
        <f>IF(E38="Freilos",6,IF(F28&gt;G28,6,0))</f>
        <v>0</v>
      </c>
      <c r="U28" s="133">
        <f>IF(D38="Freilos",6,IF(G28&gt;F28,6,0))</f>
        <v>0</v>
      </c>
      <c r="X28" s="102">
        <f>IF(Auslosung_Turnierdaten!F17="","",9)</f>
        <v>9</v>
      </c>
      <c r="Y28" s="107" t="str">
        <f>IF(SP16!X28="","",Auslosung_Turnierdaten!F17)</f>
        <v>Freilos</v>
      </c>
      <c r="Z28" s="108">
        <f>IF(SP16!X28="","",Auslosung_Turnierdaten!G17)</f>
        <v>0</v>
      </c>
      <c r="AA28" s="108">
        <f>IF(SP16!X28="","",Auslosung_Turnierdaten!H17)</f>
        <v>0</v>
      </c>
      <c r="AB28" s="108">
        <f>IF(SP16!X28="","",Auslosung_Turnierdaten!I17)</f>
        <v>0</v>
      </c>
      <c r="AC28" s="109">
        <f>IF(SP16!X28="","",SP16!X11)</f>
        <v>0</v>
      </c>
      <c r="AD28" s="109">
        <f>IF(SP16!X28="","",SP16!Z11)</f>
        <v>0</v>
      </c>
      <c r="AE28" s="109">
        <f>IF(SP16!X28="","",SP16!AA11)</f>
        <v>0</v>
      </c>
      <c r="AF28" s="109">
        <f>IF(SP16!X28="","",SP16!AC11)</f>
        <v>0</v>
      </c>
      <c r="AG28" s="109">
        <f>IF(SP16!X28="","",IF($AG$19="VSp",SP16!AD11,SP16!AF11))</f>
        <v>0</v>
      </c>
      <c r="AH28" s="110">
        <f>IF(SP16!X28="","",IF($AH$19="Quot",SP16!AE11,SP16!AG11))</f>
        <v>0</v>
      </c>
      <c r="AI28" s="110">
        <f>IF($AI$19="BED",SP16!AH11,"")</f>
      </c>
      <c r="AJ28" s="111">
        <f>IF($AJ$19="HS",SP16!AI11,"")</f>
      </c>
      <c r="AN28" s="121">
        <f t="shared" si="23"/>
        <v>0</v>
      </c>
      <c r="AO28" s="135"/>
      <c r="AP28" s="121">
        <f t="shared" si="29"/>
      </c>
      <c r="AQ28" s="172"/>
      <c r="AR28" s="173"/>
      <c r="AS28" s="174">
        <f t="shared" si="25"/>
      </c>
      <c r="BL28" s="47">
        <f>IF(AND(COUNTIF(L26:L26:L26:$L$33,L26)=1,F26+G26&gt;0),L26&amp;"-","")</f>
      </c>
    </row>
    <row r="29" spans="2:64" ht="11.25" thickBot="1">
      <c r="B29" s="49" t="s">
        <v>113</v>
      </c>
      <c r="C29" s="49">
        <v>27</v>
      </c>
      <c r="D29" s="90" t="str">
        <f>IF(D27="Sieger 21","Verlierer 25",IF(E27="Sieger 22","Verlierer 21",IF(D27=E27,"Freilos",IF(E27="Freilos",E27,IF(D27="Freilos",D27,IF(F27&gt;G27,E27,IF(G27&gt;F27,D27,"Verlierer 21")))))))</f>
        <v>Verlierer 25</v>
      </c>
      <c r="E29" s="91" t="str">
        <f>IF(D28="Sieger 23","Verlierer 26",IF(E28="Sieger 24","Verlierer 26",IF(D28=E28,"Freilos",IF(E28="Freilos",E28,IF(D28="Freilos",D28,IF(F28&gt;G28,E28,IF(G28&gt;F28,D28,"Verlierer 26")))))))</f>
        <v>Verlierer 26</v>
      </c>
      <c r="F29" s="114"/>
      <c r="G29" s="113"/>
      <c r="H29" s="112"/>
      <c r="I29" s="113"/>
      <c r="J29" s="114"/>
      <c r="K29" s="115"/>
      <c r="L29" s="167"/>
      <c r="M29" s="83"/>
      <c r="N29" s="47">
        <f t="shared" si="0"/>
        <v>0</v>
      </c>
      <c r="O29" s="47">
        <f t="shared" si="1"/>
        <v>0</v>
      </c>
      <c r="P29" s="47">
        <f>IF(E39="Freilos",0,IF(F29&lt;G29,1,IF(F29&gt;G29,1,0)))</f>
        <v>0</v>
      </c>
      <c r="Q29" s="47">
        <f>IF(D39="Freilos",0,IF(F29&lt;G29,1,IF(F29&gt;G29,1,0)))</f>
        <v>0</v>
      </c>
      <c r="R29" s="47">
        <f>IF(E39="Freilos",0,IF(F29&gt;G29,1,0))</f>
        <v>0</v>
      </c>
      <c r="S29" s="47">
        <f>IF(D39="Freilos",0,IF(G29&gt;F29,1,0))</f>
        <v>0</v>
      </c>
      <c r="T29" s="47">
        <f>IF(E29="Freilos",3,IF(F29&gt;G29,3,0))</f>
        <v>0</v>
      </c>
      <c r="U29" s="133">
        <f>IF(D29="Freilos",3,IF(G29&gt;F29,3,0))</f>
        <v>0</v>
      </c>
      <c r="X29" s="102">
        <f>IF(Auslosung_Turnierdaten!F18="","",10)</f>
        <v>10</v>
      </c>
      <c r="Y29" s="107" t="str">
        <f>IF(SP16!X29="","",Auslosung_Turnierdaten!F18)</f>
        <v>Freilos</v>
      </c>
      <c r="Z29" s="108">
        <f>IF(SP16!X29="","",Auslosung_Turnierdaten!G18)</f>
        <v>0</v>
      </c>
      <c r="AA29" s="108">
        <f>IF(SP16!X29="","",Auslosung_Turnierdaten!H18)</f>
        <v>0</v>
      </c>
      <c r="AB29" s="108">
        <f>IF(SP16!X29="","",Auslosung_Turnierdaten!I18)</f>
        <v>0</v>
      </c>
      <c r="AC29" s="109">
        <f>IF(SP16!X29="","",SP16!X12)</f>
        <v>0</v>
      </c>
      <c r="AD29" s="109">
        <f>IF(SP16!X29="","",SP16!Z12)</f>
        <v>0</v>
      </c>
      <c r="AE29" s="109">
        <f>IF(SP16!X29="","",SP16!AA12)</f>
        <v>0</v>
      </c>
      <c r="AF29" s="109">
        <f>IF(SP16!X29="","",SP16!AC12)</f>
        <v>0</v>
      </c>
      <c r="AG29" s="109">
        <f>IF(SP16!X29="","",IF($AG$19="VSp",SP16!AD12,SP16!AF12))</f>
        <v>0</v>
      </c>
      <c r="AH29" s="110">
        <f>IF(SP16!X29="","",IF($AH$19="Quot",SP16!AE12,SP16!AG12))</f>
        <v>0</v>
      </c>
      <c r="AI29" s="110">
        <f>IF($AI$19="BED",SP16!AH12,"")</f>
      </c>
      <c r="AJ29" s="111">
        <f>IF($AJ$19="HS",SP16!AI12,"")</f>
      </c>
      <c r="AN29" s="121">
        <f t="shared" si="23"/>
        <v>0</v>
      </c>
      <c r="AO29" s="135"/>
      <c r="AP29" s="121">
        <f t="shared" si="29"/>
      </c>
      <c r="AQ29" s="172"/>
      <c r="AR29" s="173"/>
      <c r="AS29" s="174">
        <f t="shared" si="25"/>
      </c>
      <c r="BL29" s="47">
        <f>IF(AND(COUNTIF(L27:L27:L27:$L$33,L27)=1,F27+G27&gt;0),L27&amp;"-","")</f>
      </c>
    </row>
    <row r="30" spans="2:64" ht="11.25" thickBot="1">
      <c r="B30" s="52" t="s">
        <v>112</v>
      </c>
      <c r="C30" s="49">
        <v>28</v>
      </c>
      <c r="D30" s="116" t="str">
        <f>IF(D27="Sieger 15","Sieger 25",IF(E27="Sieger 17-20","Sieger 25",IF(D27=E27,"Freilos",IF(E27="Freilos",D27,IF(D27="Freilos",E27,IF(F27&gt;G27,D27,IF(G27&gt;F27,E27,"Sieger 25")))))))</f>
        <v>Sieger 25</v>
      </c>
      <c r="E30" s="117" t="str">
        <f>IF(D28="Sieger 16","Sieger 26",IF(E28="Sieger 17-20","Sieger 26",IF(D28=E28,"Freilos",IF(E28="Freilos",D28,IF(D28="Freilos",E28,IF(F28&gt;G28,D28,IF(G28&gt;F28,E28,"Sieger 26")))))))</f>
        <v>Sieger 26</v>
      </c>
      <c r="F30" s="120"/>
      <c r="G30" s="119"/>
      <c r="H30" s="118"/>
      <c r="I30" s="119"/>
      <c r="J30" s="120"/>
      <c r="K30" s="119"/>
      <c r="L30" s="168"/>
      <c r="M30" s="60"/>
      <c r="N30" s="47">
        <f t="shared" si="0"/>
        <v>0</v>
      </c>
      <c r="O30" s="47">
        <f t="shared" si="1"/>
        <v>0</v>
      </c>
      <c r="P30" s="47">
        <f>IF(E40="Freilos",0,IF(F30&lt;G30,1,IF(F30&gt;G30,1,0)))</f>
        <v>0</v>
      </c>
      <c r="Q30" s="47">
        <f>IF(D40="Freilos",0,IF(F30&lt;G30,1,IF(F30&gt;G30,1,0)))</f>
        <v>0</v>
      </c>
      <c r="R30" s="47">
        <f>IF(E40="Freilos",0,IF(F30&gt;G30,1,0))</f>
        <v>0</v>
      </c>
      <c r="S30" s="47">
        <f>IF(D40="Freilos",0,IF(G30&gt;F30,1,0))</f>
        <v>0</v>
      </c>
      <c r="T30" s="47">
        <f>IF(E30="Freilos",3,IF(F30&gt;G30,3,0))</f>
        <v>0</v>
      </c>
      <c r="U30" s="133">
        <f>IF(D30="Freilos",3,IF(G30&gt;F30,3,0))</f>
        <v>0</v>
      </c>
      <c r="X30" s="102">
        <f>IF(Auslosung_Turnierdaten!F19="","",11)</f>
        <v>11</v>
      </c>
      <c r="Y30" s="107" t="str">
        <f>IF(SP16!X30="","",Auslosung_Turnierdaten!F19)</f>
        <v>Freilos</v>
      </c>
      <c r="Z30" s="108">
        <f>IF(SP16!X30="","",Auslosung_Turnierdaten!G19)</f>
        <v>0</v>
      </c>
      <c r="AA30" s="108">
        <f>IF(SP16!X30="","",Auslosung_Turnierdaten!H19)</f>
        <v>0</v>
      </c>
      <c r="AB30" s="108">
        <f>IF(SP16!X30="","",Auslosung_Turnierdaten!I19)</f>
        <v>0</v>
      </c>
      <c r="AC30" s="109">
        <f>IF(SP16!X30="","",SP16!X13)</f>
        <v>0</v>
      </c>
      <c r="AD30" s="109">
        <f>IF(SP16!X30="","",SP16!Z13)</f>
        <v>0</v>
      </c>
      <c r="AE30" s="109">
        <f>IF(SP16!X30="","",SP16!AA13)</f>
        <v>0</v>
      </c>
      <c r="AF30" s="109">
        <f>IF(SP16!X30="","",SP16!AC13)</f>
        <v>0</v>
      </c>
      <c r="AG30" s="109">
        <f>IF(SP16!X30="","",IF($AG$19="VSp",SP16!AD13,SP16!AF13))</f>
        <v>0</v>
      </c>
      <c r="AH30" s="110">
        <f>IF(SP16!X30="","",IF($AH$19="Quot",SP16!AE13,SP16!AG13))</f>
        <v>0</v>
      </c>
      <c r="AI30" s="110">
        <f>IF($AI$19="BED",SP16!AH13,"")</f>
      </c>
      <c r="AJ30" s="111">
        <f>IF($AJ$19="HS",SP16!AI13,"")</f>
      </c>
      <c r="AN30" s="121">
        <f t="shared" si="23"/>
        <v>0</v>
      </c>
      <c r="AO30" s="135"/>
      <c r="AP30" s="121">
        <f t="shared" si="29"/>
      </c>
      <c r="AQ30" s="172"/>
      <c r="AR30" s="173"/>
      <c r="AS30" s="174">
        <f t="shared" si="25"/>
      </c>
      <c r="BL30" s="47">
        <f>IF(AND(COUNTIF(L28:L28:L28:$L$33,L28)=1,F28+G28&gt;0),L28&amp;"-","")</f>
      </c>
    </row>
    <row r="31" spans="1:64" ht="10.5">
      <c r="A31" s="192"/>
      <c r="B31" s="192"/>
      <c r="C31" s="192"/>
      <c r="D31" s="192"/>
      <c r="E31" s="192"/>
      <c r="F31" s="200"/>
      <c r="G31" s="200"/>
      <c r="H31" s="200"/>
      <c r="I31" s="200"/>
      <c r="J31" s="200"/>
      <c r="K31" s="200"/>
      <c r="L31" s="192"/>
      <c r="M31" s="83"/>
      <c r="N31" s="192"/>
      <c r="O31" s="192"/>
      <c r="P31" s="192"/>
      <c r="Q31" s="192"/>
      <c r="R31" s="192"/>
      <c r="S31" s="192"/>
      <c r="T31" s="192"/>
      <c r="U31" s="192"/>
      <c r="X31" s="102">
        <f>IF(Auslosung_Turnierdaten!F20="","",12)</f>
        <v>12</v>
      </c>
      <c r="Y31" s="107" t="str">
        <f>IF(SP16!X31="","",Auslosung_Turnierdaten!F20)</f>
        <v>Freilos</v>
      </c>
      <c r="Z31" s="108">
        <f>IF(SP16!X31="","",Auslosung_Turnierdaten!G20)</f>
        <v>0</v>
      </c>
      <c r="AA31" s="108">
        <f>IF(SP16!X31="","",Auslosung_Turnierdaten!H20)</f>
        <v>0</v>
      </c>
      <c r="AB31" s="108">
        <f>IF(SP16!X31="","",Auslosung_Turnierdaten!I20)</f>
        <v>0</v>
      </c>
      <c r="AC31" s="109">
        <f>IF(SP16!X31="","",SP16!X14)</f>
        <v>0</v>
      </c>
      <c r="AD31" s="109">
        <f>IF(SP16!X31="","",SP16!Z14)</f>
        <v>0</v>
      </c>
      <c r="AE31" s="109">
        <f>IF(SP16!X31="","",SP16!AA14)</f>
        <v>0</v>
      </c>
      <c r="AF31" s="109">
        <f>IF(SP16!X31="","",SP16!AC14)</f>
        <v>0</v>
      </c>
      <c r="AG31" s="109">
        <f>IF(SP16!X31="","",IF($AG$19="VSp",SP16!AD14,SP16!AF14))</f>
        <v>0</v>
      </c>
      <c r="AH31" s="110">
        <f>IF(SP16!X31="","",IF($AH$19="Quot",SP16!AE14,SP16!AG14))</f>
        <v>0</v>
      </c>
      <c r="AI31" s="110">
        <f>IF($AI$19="BED",SP16!AH14,"")</f>
      </c>
      <c r="AJ31" s="111">
        <f>IF($AJ$19="HS",SP16!AI14,"")</f>
      </c>
      <c r="AN31" s="121">
        <f t="shared" si="23"/>
        <v>0</v>
      </c>
      <c r="AO31" s="135"/>
      <c r="AP31" s="121">
        <f t="shared" si="29"/>
      </c>
      <c r="AQ31" s="47"/>
      <c r="AR31" s="47"/>
      <c r="AS31" s="47">
        <f t="shared" si="25"/>
      </c>
      <c r="BL31" s="47">
        <f>IF(AND(COUNTIF(L29:L29:L29:$L$33,L29)=1,F29+G29&gt;0),L29&amp;"-","")</f>
      </c>
    </row>
    <row r="32" spans="1:64" ht="10.5">
      <c r="A32" s="192"/>
      <c r="B32" s="192"/>
      <c r="C32" s="192"/>
      <c r="D32" s="192"/>
      <c r="E32" s="192"/>
      <c r="F32" s="200"/>
      <c r="G32" s="200"/>
      <c r="H32" s="200"/>
      <c r="I32" s="200"/>
      <c r="J32" s="200"/>
      <c r="K32" s="200"/>
      <c r="L32" s="192"/>
      <c r="M32" s="60"/>
      <c r="N32" s="192"/>
      <c r="O32" s="192"/>
      <c r="P32" s="192"/>
      <c r="Q32" s="192"/>
      <c r="R32" s="192"/>
      <c r="S32" s="192"/>
      <c r="T32" s="192"/>
      <c r="U32" s="192"/>
      <c r="X32" s="102">
        <f>IF(Auslosung_Turnierdaten!F21="","",13)</f>
        <v>13</v>
      </c>
      <c r="Y32" s="107" t="str">
        <f>IF(SP16!X32="","",Auslosung_Turnierdaten!F21)</f>
        <v>Freilos</v>
      </c>
      <c r="Z32" s="108">
        <f>IF(SP16!X32="","",Auslosung_Turnierdaten!G21)</f>
        <v>0</v>
      </c>
      <c r="AA32" s="108">
        <f>IF(SP16!X32="","",Auslosung_Turnierdaten!H21)</f>
        <v>0</v>
      </c>
      <c r="AB32" s="108">
        <f>IF(SP16!X32="","",Auslosung_Turnierdaten!I21)</f>
        <v>0</v>
      </c>
      <c r="AC32" s="109">
        <f>IF(SP16!X32="","",SP16!X15)</f>
        <v>0</v>
      </c>
      <c r="AD32" s="109">
        <f>IF(SP16!X32="","",SP16!Z15)</f>
        <v>0</v>
      </c>
      <c r="AE32" s="109">
        <f>IF(SP16!X32="","",SP16!AA15)</f>
        <v>0</v>
      </c>
      <c r="AF32" s="109">
        <f>IF(SP16!X32="","",SP16!AC15)</f>
        <v>0</v>
      </c>
      <c r="AG32" s="109">
        <f>IF(SP16!X32="","",IF($AG$19="VSp",SP16!AD15,SP16!AF15))</f>
        <v>0</v>
      </c>
      <c r="AH32" s="110">
        <f>IF(SP16!X32="","",IF($AH$19="Quot",SP16!AE15,SP16!AG15))</f>
        <v>0</v>
      </c>
      <c r="AI32" s="110">
        <f>IF($AI$19="BED",SP16!AH15,"")</f>
      </c>
      <c r="AJ32" s="111">
        <f>IF($AJ$19="HS",SP16!AI15,"")</f>
      </c>
      <c r="AN32" s="121">
        <f t="shared" si="23"/>
        <v>0</v>
      </c>
      <c r="AO32" s="135"/>
      <c r="AP32" s="121">
        <f t="shared" si="29"/>
      </c>
      <c r="AQ32" s="47"/>
      <c r="AR32" s="47"/>
      <c r="AS32" s="47">
        <f t="shared" si="25"/>
      </c>
      <c r="BL32" s="47">
        <f>IF(AND(COUNTIF(L30:L30:L30:$L$33,L30)=1,F30+G30&gt;0),L30&amp;"-","")</f>
      </c>
    </row>
    <row r="33" spans="1:64" ht="10.5">
      <c r="A33" s="192"/>
      <c r="B33" s="192"/>
      <c r="C33" s="192"/>
      <c r="D33" s="192"/>
      <c r="E33" s="192"/>
      <c r="F33" s="200"/>
      <c r="G33" s="200"/>
      <c r="H33" s="200"/>
      <c r="I33" s="200"/>
      <c r="J33" s="200"/>
      <c r="K33" s="200"/>
      <c r="L33" s="192"/>
      <c r="M33" s="60"/>
      <c r="N33" s="192"/>
      <c r="O33" s="192"/>
      <c r="P33" s="192"/>
      <c r="Q33" s="192"/>
      <c r="R33" s="192"/>
      <c r="S33" s="192"/>
      <c r="T33" s="192"/>
      <c r="U33" s="192"/>
      <c r="X33" s="102">
        <f>IF(Auslosung_Turnierdaten!F22="","",14)</f>
        <v>14</v>
      </c>
      <c r="Y33" s="107" t="str">
        <f>IF(SP16!X33="","",Auslosung_Turnierdaten!F22)</f>
        <v>Freilos</v>
      </c>
      <c r="Z33" s="108">
        <f>IF(SP16!X33="","",Auslosung_Turnierdaten!G22)</f>
        <v>0</v>
      </c>
      <c r="AA33" s="108">
        <f>IF(SP16!X33="","",Auslosung_Turnierdaten!H22)</f>
        <v>0</v>
      </c>
      <c r="AB33" s="108">
        <f>IF(SP16!X33="","",Auslosung_Turnierdaten!I22)</f>
        <v>0</v>
      </c>
      <c r="AC33" s="109">
        <f>IF(SP16!X33="","",SP16!X16)</f>
        <v>0</v>
      </c>
      <c r="AD33" s="109">
        <f>IF(SP16!X33="","",SP16!Z16)</f>
        <v>0</v>
      </c>
      <c r="AE33" s="109">
        <f>IF(SP16!X33="","",SP16!AA16)</f>
        <v>0</v>
      </c>
      <c r="AF33" s="109">
        <f>IF(SP16!X33="","",SP16!AC16)</f>
        <v>0</v>
      </c>
      <c r="AG33" s="109">
        <f>IF(SP16!X33="","",IF($AG$19="VSp",SP16!AD16,SP16!AF16))</f>
        <v>0</v>
      </c>
      <c r="AH33" s="110">
        <f>IF(SP16!X33="","",IF($AH$19="Quot",SP16!AE16,SP16!AG16))</f>
        <v>0</v>
      </c>
      <c r="AI33" s="110">
        <f>IF($AI$19="BED",SP16!AH16,"")</f>
      </c>
      <c r="AJ33" s="111">
        <f>IF($AJ$19="HS",SP16!AI16,"")</f>
      </c>
      <c r="AN33" s="121">
        <f t="shared" si="23"/>
        <v>0</v>
      </c>
      <c r="AO33" s="135"/>
      <c r="AP33" s="121">
        <f t="shared" si="29"/>
      </c>
      <c r="AQ33" s="47"/>
      <c r="AR33" s="47"/>
      <c r="AS33" s="47">
        <f t="shared" si="25"/>
      </c>
      <c r="BL33" s="47">
        <f>IF(AND(COUNTIF(L31:L31:L31:$L$33,L31)=1,F31+G31&gt;0),L31&amp;"-","")</f>
      </c>
    </row>
    <row r="34" spans="4:41" ht="10.5">
      <c r="D34" s="121"/>
      <c r="E34" s="121"/>
      <c r="X34" s="102">
        <f>IF(Auslosung_Turnierdaten!F23="","",15)</f>
        <v>15</v>
      </c>
      <c r="Y34" s="107" t="str">
        <f>IF(SP16!X34="","",Auslosung_Turnierdaten!F23)</f>
        <v>Freilos</v>
      </c>
      <c r="Z34" s="108">
        <f>IF(SP16!X34="","",Auslosung_Turnierdaten!G23)</f>
        <v>0</v>
      </c>
      <c r="AA34" s="108">
        <f>IF(SP16!X34="","",Auslosung_Turnierdaten!H23)</f>
        <v>0</v>
      </c>
      <c r="AB34" s="108">
        <f>IF(SP16!X34="","",Auslosung_Turnierdaten!I23)</f>
        <v>0</v>
      </c>
      <c r="AC34" s="109">
        <f>IF(SP16!X34="","",SP16!X17)</f>
        <v>0</v>
      </c>
      <c r="AD34" s="109">
        <f>IF(SP16!X34="","",SP16!Z17)</f>
        <v>0</v>
      </c>
      <c r="AE34" s="109">
        <f>IF(SP16!X34="","",SP16!AA17)</f>
        <v>0</v>
      </c>
      <c r="AF34" s="109">
        <f>IF(SP16!X34="","",SP16!AC17)</f>
        <v>0</v>
      </c>
      <c r="AG34" s="109">
        <f>IF(SP16!X34="","",IF($AG$19="VSp",SP16!AD17,SP16!AF17))</f>
        <v>0</v>
      </c>
      <c r="AH34" s="110">
        <f>IF(SP16!X34="","",IF($AH$19="Quot",SP16!AE17,SP16!AG17))</f>
        <v>0</v>
      </c>
      <c r="AI34" s="110">
        <f>IF($AI$19="BED",SP16!AH17,"")</f>
      </c>
      <c r="AJ34" s="111">
        <f>IF($AJ$19="HS",SP16!AI17,"")</f>
      </c>
      <c r="AN34" s="121">
        <f t="shared" si="23"/>
        <v>0</v>
      </c>
      <c r="AO34" s="135"/>
    </row>
    <row r="35" spans="24:41" ht="11.25" thickBot="1">
      <c r="X35" s="102">
        <f>IF(Auslosung_Turnierdaten!F24="","",16)</f>
        <v>16</v>
      </c>
      <c r="Y35" s="122" t="str">
        <f>IF(SP16!X35="","",Auslosung_Turnierdaten!F24)</f>
        <v>Freilos</v>
      </c>
      <c r="Z35" s="123">
        <f>IF(SP16!X35="","",Auslosung_Turnierdaten!G24)</f>
        <v>0</v>
      </c>
      <c r="AA35" s="123">
        <f>IF(SP16!X35="","",Auslosung_Turnierdaten!H24)</f>
        <v>0</v>
      </c>
      <c r="AB35" s="123">
        <f>IF(SP16!X35="","",Auslosung_Turnierdaten!I24)</f>
        <v>0</v>
      </c>
      <c r="AC35" s="124">
        <f>IF(SP16!X35="","",SP16!X18)</f>
        <v>0</v>
      </c>
      <c r="AD35" s="124">
        <f>IF(SP16!X35="","",SP16!Z18)</f>
        <v>0</v>
      </c>
      <c r="AE35" s="124">
        <f>IF(SP16!X35="","",SP16!AA18)</f>
        <v>0</v>
      </c>
      <c r="AF35" s="124">
        <f>IF(SP16!X35="","",SP16!AC18)</f>
        <v>0</v>
      </c>
      <c r="AG35" s="124">
        <f>IF(SP16!X35="","",IF($AG$19="VSp",SP16!AD18,SP16!AF18))</f>
        <v>0</v>
      </c>
      <c r="AH35" s="125">
        <f>IF(SP16!X35="","",IF($AH$19="Quot",SP16!AE18,SP16!AG18))</f>
        <v>0</v>
      </c>
      <c r="AI35" s="125">
        <f>IF($AI$19="BED",SP16!AH18,"")</f>
      </c>
      <c r="AJ35" s="126">
        <f>IF($AJ$19="HS",SP16!AI18,"")</f>
      </c>
      <c r="AO35" s="138"/>
    </row>
    <row r="36" ht="10.5"/>
    <row r="37" spans="1:5" ht="10.5">
      <c r="A37" s="192"/>
      <c r="B37" s="192"/>
      <c r="C37" s="192"/>
      <c r="D37" s="193"/>
      <c r="E37" s="193"/>
    </row>
    <row r="38" spans="1:13" ht="10.5">
      <c r="A38" s="192"/>
      <c r="B38" s="192"/>
      <c r="C38" s="192"/>
      <c r="D38" s="193"/>
      <c r="E38" s="193"/>
      <c r="F38" s="184"/>
      <c r="M38" s="48"/>
    </row>
    <row r="39" spans="1:8" ht="10.5">
      <c r="A39" s="192"/>
      <c r="B39" s="192"/>
      <c r="C39" s="192"/>
      <c r="D39" s="193"/>
      <c r="E39" s="193"/>
      <c r="F39" s="184">
        <v>1</v>
      </c>
      <c r="G39" s="184" t="str">
        <f>IF(Auslosung_Turnierdaten!M9="","öüä",Auslosung_Turnierdaten!M9)</f>
        <v>öüä</v>
      </c>
      <c r="H39" s="185">
        <f>COUNTIF(L$3:L$33,G39)-SUMIF(L$3:L$33,G39,P$3:P$33)</f>
        <v>0</v>
      </c>
    </row>
    <row r="40" spans="1:8" ht="10.5">
      <c r="A40" s="192"/>
      <c r="B40" s="192"/>
      <c r="C40" s="192"/>
      <c r="D40" s="193"/>
      <c r="E40" s="193"/>
      <c r="F40" s="184">
        <v>2</v>
      </c>
      <c r="G40" s="184" t="str">
        <f>IF(Auslosung_Turnierdaten!M10="","öüä",Auslosung_Turnierdaten!M10)</f>
        <v>öüä</v>
      </c>
      <c r="H40" s="185">
        <f aca="true" t="shared" si="30" ref="H40:H45">COUNTIF(L$3:L$33,G40)-SUMIF(L$3:L$33,G40,P$3:P$33)</f>
        <v>0</v>
      </c>
    </row>
    <row r="41" spans="1:8" ht="10.5">
      <c r="A41" s="192"/>
      <c r="B41" s="192"/>
      <c r="C41" s="192"/>
      <c r="D41" s="193"/>
      <c r="E41" s="193"/>
      <c r="F41" s="184">
        <v>3</v>
      </c>
      <c r="G41" s="184" t="str">
        <f>IF(Auslosung_Turnierdaten!M11="","öüä",Auslosung_Turnierdaten!M11)</f>
        <v>öüä</v>
      </c>
      <c r="H41" s="185">
        <f t="shared" si="30"/>
        <v>0</v>
      </c>
    </row>
    <row r="42" spans="1:8" ht="10.5">
      <c r="A42" s="192"/>
      <c r="B42" s="192"/>
      <c r="C42" s="192"/>
      <c r="D42" s="193"/>
      <c r="E42" s="193"/>
      <c r="F42" s="184">
        <v>4</v>
      </c>
      <c r="G42" s="184" t="str">
        <f>IF(Auslosung_Turnierdaten!M12="","öüä",Auslosung_Turnierdaten!M12)</f>
        <v>öüä</v>
      </c>
      <c r="H42" s="185">
        <f t="shared" si="30"/>
        <v>0</v>
      </c>
    </row>
    <row r="43" spans="1:8" ht="10.5">
      <c r="A43" s="192"/>
      <c r="B43" s="192"/>
      <c r="C43" s="192"/>
      <c r="D43" s="193"/>
      <c r="E43" s="193"/>
      <c r="F43" s="184">
        <v>5</v>
      </c>
      <c r="G43" s="184" t="str">
        <f>IF(Auslosung_Turnierdaten!M13="","öüä",Auslosung_Turnierdaten!M13)</f>
        <v>öüä</v>
      </c>
      <c r="H43" s="185">
        <f t="shared" si="30"/>
        <v>0</v>
      </c>
    </row>
    <row r="44" spans="1:8" ht="10.5">
      <c r="A44" s="192"/>
      <c r="B44" s="192"/>
      <c r="C44" s="192"/>
      <c r="D44" s="192"/>
      <c r="E44" s="192"/>
      <c r="F44" s="184">
        <v>6</v>
      </c>
      <c r="G44" s="184" t="str">
        <f>IF(Auslosung_Turnierdaten!M14="","öüä",Auslosung_Turnierdaten!M14)</f>
        <v>öüä</v>
      </c>
      <c r="H44" s="185">
        <f t="shared" si="30"/>
        <v>0</v>
      </c>
    </row>
    <row r="45" spans="6:8" ht="10.5">
      <c r="F45" s="184">
        <v>7</v>
      </c>
      <c r="G45" s="184" t="str">
        <f>IF(Auslosung_Turnierdaten!M15="","öüä",Auslosung_Turnierdaten!M15)</f>
        <v>öüä</v>
      </c>
      <c r="H45" s="185">
        <f t="shared" si="30"/>
        <v>0</v>
      </c>
    </row>
    <row r="46" spans="1:13" ht="10.5">
      <c r="A46" s="195"/>
      <c r="B46" s="195"/>
      <c r="C46" s="195"/>
      <c r="D46" s="196" t="str">
        <f>IF(D19="Sieger 9","Sieger 17",IF(E19="Verlierer 16","Sieger 17",IF(D19=E19,"Freilos",IF(E19="Freilos",D19,IF(D19="Freilos",E19,IF(F19&gt;G19,D19,IF(G19&gt;F19,E19,"Sieger 17")))))))</f>
        <v>Freilos</v>
      </c>
      <c r="E46" s="195"/>
      <c r="F46" s="194">
        <v>8</v>
      </c>
      <c r="G46" s="212">
        <f ca="1">RAND()</f>
        <v>0.31130503527873987</v>
      </c>
      <c r="H46" s="212" t="s">
        <v>184</v>
      </c>
      <c r="I46" s="212"/>
      <c r="J46" s="212"/>
      <c r="K46" s="212" t="str">
        <f>D46</f>
        <v>Freilos</v>
      </c>
      <c r="L46" s="197"/>
      <c r="M46" s="198" t="s">
        <v>109</v>
      </c>
    </row>
    <row r="47" spans="1:13" ht="10.5">
      <c r="A47" s="195"/>
      <c r="B47" s="195"/>
      <c r="C47" s="195"/>
      <c r="D47" s="196" t="str">
        <f>IF(D21="Sieger 11","Sieger 19",IF(E21="Verlierer 14","Sieger 19",IF(D21=E21,"Freilos",IF(E21="Freilos",D21,IF(D21="Freilos",E21,IF(F21&gt;G21,D21,IF(G21&gt;F21,E21,"Sieger 19")))))))</f>
        <v>Freilos</v>
      </c>
      <c r="E47" s="195"/>
      <c r="F47" s="194"/>
      <c r="G47" s="212">
        <f ca="1">RAND()</f>
        <v>0.5774138307893377</v>
      </c>
      <c r="H47" s="212" t="s">
        <v>182</v>
      </c>
      <c r="I47" s="212"/>
      <c r="J47" s="212"/>
      <c r="K47" s="212" t="str">
        <f>D48</f>
        <v>Freilos</v>
      </c>
      <c r="L47" s="197"/>
      <c r="M47" s="198" t="s">
        <v>109</v>
      </c>
    </row>
    <row r="48" spans="1:13" ht="10.5">
      <c r="A48" s="195"/>
      <c r="B48" s="195"/>
      <c r="C48" s="195"/>
      <c r="D48" s="196" t="str">
        <f>IF(D20="Sieger 10","Sieger 18",IF(E20="Verlierer 15","Sieger 18",IF(D20=E20,"Freilos",IF(E20="Freilos",D20,IF(D20="Freilos",E20,IF(F20&gt;G20,D20,IF(G20&gt;F20,E20,"Sieger 18")))))))</f>
        <v>Freilos</v>
      </c>
      <c r="E48" s="195"/>
      <c r="F48" s="194"/>
      <c r="G48" s="212">
        <f ca="1">RAND()</f>
        <v>0.08449994076218914</v>
      </c>
      <c r="H48" s="212" t="s">
        <v>183</v>
      </c>
      <c r="I48" s="212"/>
      <c r="J48" s="212"/>
      <c r="K48" s="212" t="str">
        <f>D47</f>
        <v>Freilos</v>
      </c>
      <c r="L48" s="197"/>
      <c r="M48" s="198" t="s">
        <v>109</v>
      </c>
    </row>
    <row r="49" spans="1:13" ht="10.5">
      <c r="A49" s="195"/>
      <c r="B49" s="195"/>
      <c r="C49" s="195"/>
      <c r="D49" s="196" t="str">
        <f>IF(D22="Sieger 12","Sieger 20",IF(E22="Verlierer 13","Sieger 20",IF(D22=E22,"Freilos",IF(E22="Freilos",D22,IF(D22="Freilos",E22,IF(F22&gt;G22,D22,IF(G22&gt;F22,E22,"Sieger 20")))))))</f>
        <v>Freilos</v>
      </c>
      <c r="E49" s="195"/>
      <c r="F49" s="194"/>
      <c r="G49" s="212">
        <f ca="1">RAND()</f>
        <v>0.7294738167903685</v>
      </c>
      <c r="H49" s="213" t="s">
        <v>185</v>
      </c>
      <c r="I49" s="212"/>
      <c r="J49" s="212"/>
      <c r="K49" s="212" t="str">
        <f>D49</f>
        <v>Freilos</v>
      </c>
      <c r="L49" s="197"/>
      <c r="M49" s="198" t="s">
        <v>109</v>
      </c>
    </row>
    <row r="61" ht="10.5"/>
    <row r="62" ht="10.5"/>
  </sheetData>
  <sheetProtection sheet="1" objects="1" scenarios="1"/>
  <conditionalFormatting sqref="AQ3:AQ30">
    <cfRule type="expression" priority="1" dxfId="84" stopIfTrue="1">
      <formula>L3=""</formula>
    </cfRule>
    <cfRule type="expression" priority="2" dxfId="2" stopIfTrue="1">
      <formula>F3+G3&gt;0</formula>
    </cfRule>
    <cfRule type="expression" priority="3" dxfId="90" stopIfTrue="1">
      <formula>AQ3=""</formula>
    </cfRule>
  </conditionalFormatting>
  <conditionalFormatting sqref="AR3:AR30">
    <cfRule type="expression" priority="4" dxfId="84" stopIfTrue="1">
      <formula>L3=""</formula>
    </cfRule>
    <cfRule type="expression" priority="5" dxfId="2" stopIfTrue="1">
      <formula>AR3&gt;0</formula>
    </cfRule>
    <cfRule type="expression" priority="6" dxfId="84" stopIfTrue="1">
      <formula>F3+G3=0</formula>
    </cfRule>
  </conditionalFormatting>
  <conditionalFormatting sqref="AS3:AS30">
    <cfRule type="expression" priority="7" dxfId="84" stopIfTrue="1">
      <formula>L3=""</formula>
    </cfRule>
    <cfRule type="expression" priority="8" dxfId="85" stopIfTrue="1">
      <formula>AR3-AQ3&gt;0</formula>
    </cfRule>
    <cfRule type="expression" priority="9" dxfId="84" stopIfTrue="1">
      <formula>AS3=""</formula>
    </cfRule>
  </conditionalFormatting>
  <conditionalFormatting sqref="L3">
    <cfRule type="expression" priority="10" dxfId="2" stopIfTrue="1">
      <formula>T3+U3&gt;0</formula>
    </cfRule>
    <cfRule type="expression" priority="11" dxfId="0" stopIfTrue="1">
      <formula>D3="Spieler 1"</formula>
    </cfRule>
    <cfRule type="expression" priority="12" dxfId="0" stopIfTrue="1">
      <formula>E3="Spieler 9"</formula>
    </cfRule>
  </conditionalFormatting>
  <conditionalFormatting sqref="L4">
    <cfRule type="expression" priority="13" dxfId="2" stopIfTrue="1">
      <formula>T4+U4&gt;0</formula>
    </cfRule>
    <cfRule type="expression" priority="14" dxfId="0" stopIfTrue="1">
      <formula>D4="Spieler 5"</formula>
    </cfRule>
    <cfRule type="expression" priority="15" dxfId="0" stopIfTrue="1">
      <formula>E4="Spieler 13"</formula>
    </cfRule>
  </conditionalFormatting>
  <conditionalFormatting sqref="L5">
    <cfRule type="expression" priority="16" dxfId="2" stopIfTrue="1">
      <formula>T5+U5&gt;0</formula>
    </cfRule>
    <cfRule type="expression" priority="17" dxfId="0" stopIfTrue="1">
      <formula>D5="Spieler 3"</formula>
    </cfRule>
    <cfRule type="expression" priority="18" dxfId="0" stopIfTrue="1">
      <formula>E5="Spieler 11"</formula>
    </cfRule>
  </conditionalFormatting>
  <conditionalFormatting sqref="L6">
    <cfRule type="expression" priority="19" dxfId="2" stopIfTrue="1">
      <formula>T6+U6&gt;0</formula>
    </cfRule>
    <cfRule type="expression" priority="20" dxfId="0" stopIfTrue="1">
      <formula>D6="Spieler 7"</formula>
    </cfRule>
    <cfRule type="expression" priority="21" dxfId="0" stopIfTrue="1">
      <formula>E6="Spieler 15"</formula>
    </cfRule>
  </conditionalFormatting>
  <conditionalFormatting sqref="L7">
    <cfRule type="expression" priority="22" dxfId="2" stopIfTrue="1">
      <formula>T7+U7&gt;0</formula>
    </cfRule>
    <cfRule type="expression" priority="23" dxfId="0" stopIfTrue="1">
      <formula>D7="Spieler 2"</formula>
    </cfRule>
    <cfRule type="expression" priority="24" dxfId="0" stopIfTrue="1">
      <formula>E7="Spieler 10"</formula>
    </cfRule>
  </conditionalFormatting>
  <conditionalFormatting sqref="L8">
    <cfRule type="expression" priority="25" dxfId="2" stopIfTrue="1">
      <formula>T8+U8&gt;0</formula>
    </cfRule>
    <cfRule type="expression" priority="26" dxfId="0" stopIfTrue="1">
      <formula>D8="Spieler 6"</formula>
    </cfRule>
    <cfRule type="expression" priority="27" dxfId="0" stopIfTrue="1">
      <formula>E8="Spieler 14"</formula>
    </cfRule>
  </conditionalFormatting>
  <conditionalFormatting sqref="L9">
    <cfRule type="expression" priority="28" dxfId="2" stopIfTrue="1">
      <formula>T9+U9&gt;0</formula>
    </cfRule>
    <cfRule type="expression" priority="29" dxfId="0" stopIfTrue="1">
      <formula>D9="Spieler 4"</formula>
    </cfRule>
    <cfRule type="expression" priority="30" dxfId="0" stopIfTrue="1">
      <formula>E9="Spieler 12"</formula>
    </cfRule>
  </conditionalFormatting>
  <conditionalFormatting sqref="L10">
    <cfRule type="expression" priority="31" dxfId="2" stopIfTrue="1">
      <formula>T10+U10&gt;0</formula>
    </cfRule>
    <cfRule type="expression" priority="32" dxfId="0" stopIfTrue="1">
      <formula>D10="Spieler 8"</formula>
    </cfRule>
    <cfRule type="expression" priority="33" dxfId="0" stopIfTrue="1">
      <formula>E10="Spieler 16"</formula>
    </cfRule>
  </conditionalFormatting>
  <conditionalFormatting sqref="L11">
    <cfRule type="expression" priority="34" dxfId="2" stopIfTrue="1">
      <formula>T11+U11&gt;0</formula>
    </cfRule>
    <cfRule type="expression" priority="35" dxfId="0" stopIfTrue="1">
      <formula>D11="Verlierer 1"</formula>
    </cfRule>
    <cfRule type="expression" priority="36" dxfId="0" stopIfTrue="1">
      <formula>E11="Verlierer 2"</formula>
    </cfRule>
  </conditionalFormatting>
  <conditionalFormatting sqref="L12">
    <cfRule type="expression" priority="37" dxfId="2" stopIfTrue="1">
      <formula>T12+U12&gt;0</formula>
    </cfRule>
    <cfRule type="expression" priority="38" dxfId="0" stopIfTrue="1">
      <formula>D12="Verlierer 3"</formula>
    </cfRule>
    <cfRule type="expression" priority="39" dxfId="0" stopIfTrue="1">
      <formula>E12="Verlierer 4"</formula>
    </cfRule>
  </conditionalFormatting>
  <conditionalFormatting sqref="L13">
    <cfRule type="expression" priority="40" dxfId="2" stopIfTrue="1">
      <formula>T13+U13&gt;0</formula>
    </cfRule>
    <cfRule type="expression" priority="41" dxfId="0" stopIfTrue="1">
      <formula>D13="Verlierer 5"</formula>
    </cfRule>
    <cfRule type="expression" priority="42" dxfId="0" stopIfTrue="1">
      <formula>E13="Verlierer 6"</formula>
    </cfRule>
  </conditionalFormatting>
  <conditionalFormatting sqref="L14">
    <cfRule type="expression" priority="43" dxfId="2" stopIfTrue="1">
      <formula>T14+U14&gt;0</formula>
    </cfRule>
    <cfRule type="expression" priority="44" dxfId="0" stopIfTrue="1">
      <formula>D14="Verlierer 7"</formula>
    </cfRule>
    <cfRule type="expression" priority="45" dxfId="0" stopIfTrue="1">
      <formula>E14="Verlierer 8"</formula>
    </cfRule>
  </conditionalFormatting>
  <conditionalFormatting sqref="L15">
    <cfRule type="expression" priority="46" dxfId="2" stopIfTrue="1">
      <formula>T15+U15&gt;0</formula>
    </cfRule>
    <cfRule type="expression" priority="47" dxfId="0" stopIfTrue="1">
      <formula>D15="Sieger 1"</formula>
    </cfRule>
    <cfRule type="expression" priority="48" dxfId="0" stopIfTrue="1">
      <formula>E15="Sieger 2"</formula>
    </cfRule>
  </conditionalFormatting>
  <conditionalFormatting sqref="L16">
    <cfRule type="expression" priority="49" dxfId="2" stopIfTrue="1">
      <formula>T16+U16&gt;0</formula>
    </cfRule>
    <cfRule type="expression" priority="50" dxfId="0" stopIfTrue="1">
      <formula>D16="Sieger 3"</formula>
    </cfRule>
    <cfRule type="expression" priority="51" dxfId="0" stopIfTrue="1">
      <formula>E16="Sieger 4"</formula>
    </cfRule>
  </conditionalFormatting>
  <conditionalFormatting sqref="L17">
    <cfRule type="expression" priority="52" dxfId="2" stopIfTrue="1">
      <formula>T17+U17&gt;0</formula>
    </cfRule>
    <cfRule type="expression" priority="53" dxfId="0" stopIfTrue="1">
      <formula>D17="Sieger 5"</formula>
    </cfRule>
    <cfRule type="expression" priority="54" dxfId="0" stopIfTrue="1">
      <formula>E17="Sieger 6"</formula>
    </cfRule>
  </conditionalFormatting>
  <conditionalFormatting sqref="L18">
    <cfRule type="expression" priority="55" dxfId="2" stopIfTrue="1">
      <formula>T18+U18&gt;0</formula>
    </cfRule>
    <cfRule type="expression" priority="56" dxfId="0" stopIfTrue="1">
      <formula>D18="Sieger 7"</formula>
    </cfRule>
    <cfRule type="expression" priority="57" dxfId="0" stopIfTrue="1">
      <formula>E18="Sieger 8"</formula>
    </cfRule>
  </conditionalFormatting>
  <conditionalFormatting sqref="L19">
    <cfRule type="expression" priority="58" dxfId="2" stopIfTrue="1">
      <formula>T19+U19&gt;0</formula>
    </cfRule>
    <cfRule type="expression" priority="59" dxfId="0" stopIfTrue="1">
      <formula>D19="Sieger 9"</formula>
    </cfRule>
    <cfRule type="expression" priority="60" dxfId="0" stopIfTrue="1">
      <formula>E19="Verlierer 16"</formula>
    </cfRule>
  </conditionalFormatting>
  <conditionalFormatting sqref="L20">
    <cfRule type="expression" priority="61" dxfId="2" stopIfTrue="1">
      <formula>T20+U20&gt;0</formula>
    </cfRule>
    <cfRule type="expression" priority="62" dxfId="0" stopIfTrue="1">
      <formula>D20="Sieger 10"</formula>
    </cfRule>
    <cfRule type="expression" priority="63" dxfId="0" stopIfTrue="1">
      <formula>E20="Verlierer 15"</formula>
    </cfRule>
  </conditionalFormatting>
  <conditionalFormatting sqref="L21">
    <cfRule type="expression" priority="64" dxfId="2" stopIfTrue="1">
      <formula>T21+U21&gt;0</formula>
    </cfRule>
    <cfRule type="expression" priority="65" dxfId="0" stopIfTrue="1">
      <formula>"Sieger 11"</formula>
    </cfRule>
    <cfRule type="expression" priority="66" dxfId="0" stopIfTrue="1">
      <formula>E21="Verlierer 14"</formula>
    </cfRule>
  </conditionalFormatting>
  <conditionalFormatting sqref="L22">
    <cfRule type="expression" priority="67" dxfId="2" stopIfTrue="1">
      <formula>T22+U22&gt;0</formula>
    </cfRule>
    <cfRule type="expression" priority="68" dxfId="0" stopIfTrue="1">
      <formula>D22="Sieger 12"</formula>
    </cfRule>
    <cfRule type="expression" priority="69" dxfId="0" stopIfTrue="1">
      <formula>E22="Verlierer 13"</formula>
    </cfRule>
  </conditionalFormatting>
  <conditionalFormatting sqref="L27">
    <cfRule type="expression" priority="70" dxfId="2" stopIfTrue="1">
      <formula>T27+U27&gt;0</formula>
    </cfRule>
    <cfRule type="expression" priority="71" dxfId="0" stopIfTrue="1">
      <formula>D27="Sieger 21"</formula>
    </cfRule>
    <cfRule type="expression" priority="72" dxfId="0" stopIfTrue="1">
      <formula>E27="Sieger 22"</formula>
    </cfRule>
  </conditionalFormatting>
  <conditionalFormatting sqref="L28">
    <cfRule type="expression" priority="73" dxfId="2" stopIfTrue="1">
      <formula>T28+U28&gt;0</formula>
    </cfRule>
    <cfRule type="expression" priority="74" dxfId="0" stopIfTrue="1">
      <formula>D28="Sieger 23"</formula>
    </cfRule>
    <cfRule type="expression" priority="75" dxfId="0" stopIfTrue="1">
      <formula>E28="Sieger 24"</formula>
    </cfRule>
  </conditionalFormatting>
  <conditionalFormatting sqref="L29">
    <cfRule type="expression" priority="76" dxfId="2" stopIfTrue="1">
      <formula>T29+U29&gt;0</formula>
    </cfRule>
    <cfRule type="expression" priority="77" dxfId="0" stopIfTrue="1">
      <formula>D29="Verlierer 25"</formula>
    </cfRule>
    <cfRule type="expression" priority="78" dxfId="0" stopIfTrue="1">
      <formula>E29="Verlierer 26"</formula>
    </cfRule>
  </conditionalFormatting>
  <conditionalFormatting sqref="L23">
    <cfRule type="expression" priority="79" dxfId="2" stopIfTrue="1">
      <formula>T23+U23&gt;0</formula>
    </cfRule>
    <cfRule type="expression" priority="80" dxfId="0" stopIfTrue="1">
      <formula>D23="Sieger 13"</formula>
    </cfRule>
    <cfRule type="expression" priority="81" dxfId="0" stopIfTrue="1">
      <formula>E23="Sieger 17-20"</formula>
    </cfRule>
  </conditionalFormatting>
  <conditionalFormatting sqref="L24">
    <cfRule type="expression" priority="82" dxfId="2" stopIfTrue="1">
      <formula>T24+U24&gt;0</formula>
    </cfRule>
    <cfRule type="expression" priority="83" dxfId="0" stopIfTrue="1">
      <formula>D24="Sieger 14"</formula>
    </cfRule>
    <cfRule type="expression" priority="84" dxfId="0" stopIfTrue="1">
      <formula>E24="Sieger 17-20"</formula>
    </cfRule>
  </conditionalFormatting>
  <conditionalFormatting sqref="L25">
    <cfRule type="expression" priority="85" dxfId="2" stopIfTrue="1">
      <formula>T25+U25&gt;0</formula>
    </cfRule>
    <cfRule type="expression" priority="86" dxfId="0" stopIfTrue="1">
      <formula>D25="Sieger 15"</formula>
    </cfRule>
    <cfRule type="expression" priority="87" dxfId="0" stopIfTrue="1">
      <formula>E25="Sieger 17-20"</formula>
    </cfRule>
  </conditionalFormatting>
  <conditionalFormatting sqref="L26">
    <cfRule type="expression" priority="88" dxfId="2" stopIfTrue="1">
      <formula>T26+U26&gt;0</formula>
    </cfRule>
    <cfRule type="expression" priority="89" dxfId="0" stopIfTrue="1">
      <formula>D26="Sieger 16"</formula>
    </cfRule>
    <cfRule type="expression" priority="90" dxfId="0" stopIfTrue="1">
      <formula>E26="Sieger 17-20"</formula>
    </cfRule>
  </conditionalFormatting>
  <conditionalFormatting sqref="L30">
    <cfRule type="expression" priority="91" dxfId="2" stopIfTrue="1">
      <formula>T30+U30&gt;0</formula>
    </cfRule>
    <cfRule type="expression" priority="92" dxfId="0" stopIfTrue="1">
      <formula>D30="Sieger 25"</formula>
    </cfRule>
    <cfRule type="expression" priority="93" dxfId="0" stopIfTrue="1">
      <formula>E30="Sieger 26"</formula>
    </cfRule>
  </conditionalFormatting>
  <dataValidations count="29">
    <dataValidation type="custom" allowBlank="1" showInputMessage="1" showErrorMessage="1" error="Eingabefehler: Spiele bzw. Punkte müssen bei Eingabe unterschiedlich sein !" sqref="G3:G33">
      <formula1>F3&lt;&gt;G3</formula1>
    </dataValidation>
    <dataValidation type="custom" allowBlank="1" showInputMessage="1" showErrorMessage="1" error="Eingabefehler: Spiele bzw. Punkte müssen bei Eingabe unterschiedlich sein !" sqref="F3:F33">
      <formula1>F3&lt;&gt;G3</formula1>
    </dataValidation>
    <dataValidation type="custom" allowBlank="1" showInputMessage="1" showErrorMessage="1" error="Tisch bereits vergeben - anderen Tisch auswählen !" sqref="L15">
      <formula1>H49&lt;&gt;2</formula1>
    </dataValidation>
    <dataValidation type="custom" allowBlank="1" showInputMessage="1" showErrorMessage="1" error="Tisch bereits vergeben - anderen Tisch auswählen !" sqref="L16">
      <formula1>H49&lt;&gt;2</formula1>
    </dataValidation>
    <dataValidation type="custom" allowBlank="1" showInputMessage="1" showErrorMessage="1" error="Tisch bereits vergeben - anderen Tisch auswählen !" sqref="L17">
      <formula1>H49&lt;&gt;2</formula1>
    </dataValidation>
    <dataValidation type="custom" allowBlank="1" showInputMessage="1" showErrorMessage="1" error="Tisch bereits vergeben - anderen Tisch auswählen !" sqref="L18">
      <formula1>H49&lt;&gt;2</formula1>
    </dataValidation>
    <dataValidation type="custom" allowBlank="1" showInputMessage="1" showErrorMessage="1" error="Tisch bereits vergeben - anderen Tisch auswählen !" sqref="L19">
      <formula1>H49&lt;&gt;2</formula1>
    </dataValidation>
    <dataValidation type="custom" allowBlank="1" showInputMessage="1" showErrorMessage="1" error="Tisch bereits vergeben - anderen Tisch auswählen !" sqref="L20">
      <formula1>H49&lt;&gt;2</formula1>
    </dataValidation>
    <dataValidation type="custom" allowBlank="1" showInputMessage="1" showErrorMessage="1" error="Tisch bereits vergeben - anderen Tisch auswählen !" sqref="L21">
      <formula1>H49&lt;&gt;2</formula1>
    </dataValidation>
    <dataValidation type="custom" allowBlank="1" showInputMessage="1" showErrorMessage="1" error="Tisch bereits vergeben - anderen Tisch auswählen !" sqref="L22">
      <formula1>H49&lt;&gt;2</formula1>
    </dataValidation>
    <dataValidation type="custom" allowBlank="1" showInputMessage="1" showErrorMessage="1" error="Tisch bereits vergeben - anderen Tisch auswählen !" sqref="L23:L26">
      <formula1>H49&lt;&gt;2</formula1>
    </dataValidation>
    <dataValidation type="custom" allowBlank="1" showInputMessage="1" showErrorMessage="1" error="Tisch bereits vergeben - anderen Tisch auswählen !" sqref="L27:L28">
      <formula1>H49&lt;&gt;2</formula1>
    </dataValidation>
    <dataValidation type="custom" allowBlank="1" showInputMessage="1" showErrorMessage="1" error="Tisch bereits vergeben - anderen Tisch auswählen !" sqref="L29">
      <formula1>H49&lt;&gt;2</formula1>
    </dataValidation>
    <dataValidation type="custom" allowBlank="1" showInputMessage="1" showErrorMessage="1" error="Tisch bereits vergeben - anderen Tisch auswählen !" sqref="L30">
      <formula1>H49&lt;&gt;2</formula1>
    </dataValidation>
    <dataValidation type="custom" allowBlank="1" showInputMessage="1" showErrorMessage="1" error="Tisch bereits vergeben - anderen Tisch auswählen !" sqref="L31">
      <formula1>H49&lt;&gt;2</formula1>
    </dataValidation>
    <dataValidation type="custom" allowBlank="1" showInputMessage="1" showErrorMessage="1" error="Tisch bereits vergeben - anderen Tisch auswählen !" sqref="L32">
      <formula1>H49&lt;&gt;2</formula1>
    </dataValidation>
    <dataValidation type="custom" allowBlank="1" showInputMessage="1" showErrorMessage="1" prompt="Spiel 31 nur notwendig, wenn Sieger Spiel 29 auch Sieger von Spiel 30 ist !!!" error="Tisch bereits vergeben - anderen Tisch auswählen !" sqref="L33">
      <formula1>H49&lt;&gt;2</formula1>
    </dataValidation>
    <dataValidation type="custom" allowBlank="1" showInputMessage="1" showErrorMessage="1" error="Tisch bereits vergeben - anderen Tisch auswählen !" sqref="L3">
      <formula1>$H$49&lt;&gt;2</formula1>
    </dataValidation>
    <dataValidation type="custom" allowBlank="1" showInputMessage="1" showErrorMessage="1" error="Tisch bereits vergeben - anderen Tisch auswählen !" sqref="L4">
      <formula1>H49&lt;&gt;2</formula1>
    </dataValidation>
    <dataValidation type="custom" allowBlank="1" showInputMessage="1" showErrorMessage="1" error="Tisch bereits vergeben - anderen Tisch auswählen !" sqref="L5">
      <formula1>H49&lt;&gt;2</formula1>
    </dataValidation>
    <dataValidation type="custom" allowBlank="1" showInputMessage="1" showErrorMessage="1" error="Tisch bereits vergeben - anderen Tisch auswählen !" sqref="L6">
      <formula1>H49&lt;&gt;2</formula1>
    </dataValidation>
    <dataValidation type="custom" allowBlank="1" showInputMessage="1" showErrorMessage="1" error="Tisch bereits vergeben - anderen Tisch auswählen !" sqref="L7">
      <formula1>H49&lt;&gt;2</formula1>
    </dataValidation>
    <dataValidation type="custom" allowBlank="1" showInputMessage="1" showErrorMessage="1" error="Tisch bereits vergeben - anderen Tisch auswählen !" sqref="L8">
      <formula1>H49&lt;&gt;2</formula1>
    </dataValidation>
    <dataValidation type="custom" allowBlank="1" showInputMessage="1" showErrorMessage="1" error="Tisch bereits vergeben - anderen Tisch auswählen !" sqref="L9">
      <formula1>H49&lt;&gt;2</formula1>
    </dataValidation>
    <dataValidation type="custom" allowBlank="1" showInputMessage="1" showErrorMessage="1" error="Tisch bereits vergeben - anderen Tisch auswählen !" sqref="L10">
      <formula1>H49&lt;&gt;2</formula1>
    </dataValidation>
    <dataValidation type="custom" allowBlank="1" showInputMessage="1" showErrorMessage="1" error="Tisch bereits vergeben - anderen Tisch auswählen !" sqref="L11">
      <formula1>H49&lt;&gt;2</formula1>
    </dataValidation>
    <dataValidation type="custom" allowBlank="1" showInputMessage="1" showErrorMessage="1" error="Tisch bereits vergeben - anderen Tisch auswählen !" sqref="L12">
      <formula1>H49&lt;&gt;2</formula1>
    </dataValidation>
    <dataValidation type="custom" allowBlank="1" showInputMessage="1" showErrorMessage="1" error="Tisch bereits vergeben - anderen Tisch auswählen !" sqref="L13">
      <formula1>H49&lt;&gt;2</formula1>
    </dataValidation>
    <dataValidation type="custom" allowBlank="1" showInputMessage="1" showErrorMessage="1" error="Tisch bereits vergeben - anderen Tisch auswählen !" sqref="L14">
      <formula1>H49&lt;&gt;2</formula1>
    </dataValidation>
  </dataValidations>
  <printOptions/>
  <pageMargins left="0.7874015748031497" right="0.7874015748031497" top="2.7559055118110236" bottom="0.984251968503937" header="0.5118110236220472" footer="0.5118110236220472"/>
  <pageSetup fitToHeight="0" fitToWidth="0" horizontalDpi="300" verticalDpi="300" orientation="portrait" paperSize="9" scale="14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3:O33"/>
  <sheetViews>
    <sheetView showGridLines="0" showOutlineSymbols="0" zoomScale="90" zoomScaleNormal="90" zoomScalePageLayoutView="0" workbookViewId="0" topLeftCell="A1">
      <selection activeCell="D46" sqref="D46"/>
    </sheetView>
  </sheetViews>
  <sheetFormatPr defaultColWidth="11.421875" defaultRowHeight="12.75"/>
  <cols>
    <col min="1" max="1" width="4.421875" style="2" customWidth="1"/>
    <col min="2" max="2" width="11.7109375" style="6" customWidth="1"/>
    <col min="3" max="3" width="4.421875" style="2" customWidth="1"/>
    <col min="4" max="4" width="11.7109375" style="6" customWidth="1"/>
    <col min="5" max="5" width="4.421875" style="2" customWidth="1"/>
    <col min="6" max="6" width="16.140625" style="2" customWidth="1"/>
    <col min="7" max="7" width="4.421875" style="6" customWidth="1"/>
    <col min="8" max="8" width="11.7109375" style="2" customWidth="1"/>
    <col min="9" max="9" width="4.421875" style="2" customWidth="1"/>
    <col min="10" max="10" width="11.7109375" style="2" customWidth="1"/>
    <col min="11" max="11" width="4.421875" style="2" customWidth="1"/>
    <col min="12" max="12" width="11.7109375" style="2" customWidth="1"/>
    <col min="13" max="13" width="4.421875" style="2" customWidth="1"/>
    <col min="14" max="14" width="11.7109375" style="2" customWidth="1"/>
    <col min="15" max="15" width="4.421875" style="2" customWidth="1"/>
    <col min="16" max="16" width="4.00390625" style="2" customWidth="1"/>
    <col min="17" max="17" width="5.28125" style="2" bestFit="1" customWidth="1"/>
    <col min="18" max="18" width="10.421875" style="2" bestFit="1" customWidth="1"/>
    <col min="19" max="20" width="2.00390625" style="2" customWidth="1"/>
    <col min="21" max="16384" width="11.421875" style="2" customWidth="1"/>
  </cols>
  <sheetData>
    <row r="3" spans="6:8" ht="13.5" thickBot="1">
      <c r="F3" s="7" t="s">
        <v>120</v>
      </c>
      <c r="H3" s="39"/>
    </row>
    <row r="4" spans="4:8" ht="13.5" thickBot="1">
      <c r="D4" s="7" t="str">
        <f>SP16!B11</f>
        <v>VR1</v>
      </c>
      <c r="E4" s="44">
        <f>SP16!C3</f>
        <v>1</v>
      </c>
      <c r="F4" s="40" t="str">
        <f>SP16!D3</f>
        <v>Freilos</v>
      </c>
      <c r="G4" s="143">
        <f>SP16!F3</f>
        <v>0</v>
      </c>
      <c r="H4" s="7" t="s">
        <v>42</v>
      </c>
    </row>
    <row r="5" spans="4:8" ht="13.5" thickBot="1">
      <c r="D5" s="46" t="s">
        <v>86</v>
      </c>
      <c r="E5" s="41">
        <f>IF(SP16!L3&gt;0,SP16!L3,"")</f>
      </c>
      <c r="F5" s="42" t="str">
        <f>SP16!E3</f>
        <v>Freilos</v>
      </c>
      <c r="G5" s="144">
        <f>SP16!G3</f>
        <v>0</v>
      </c>
      <c r="H5" s="43" t="s">
        <v>56</v>
      </c>
    </row>
    <row r="6" spans="2:9" ht="13.5" thickBot="1">
      <c r="B6" s="7" t="str">
        <f>SP16!B19</f>
        <v>VR2</v>
      </c>
      <c r="C6" s="44">
        <f>SP16!C11</f>
        <v>9</v>
      </c>
      <c r="D6" s="146" t="str">
        <f>SP16!D11</f>
        <v>Freilos</v>
      </c>
      <c r="E6" s="143">
        <f>SP16!F11</f>
        <v>0</v>
      </c>
      <c r="G6" s="44">
        <f>SP16!C15</f>
        <v>13</v>
      </c>
      <c r="H6" s="40" t="str">
        <f>SP16!D15</f>
        <v>Freilos</v>
      </c>
      <c r="I6" s="143">
        <f>SP16!F15</f>
        <v>0</v>
      </c>
    </row>
    <row r="7" spans="2:10" ht="13.5" thickBot="1">
      <c r="B7" s="46" t="s">
        <v>85</v>
      </c>
      <c r="C7" s="41">
        <f>IF(SP16!L11&gt;0,SP16!L11,"")</f>
      </c>
      <c r="D7" s="147" t="str">
        <f>SP16!E11</f>
        <v>Freilos</v>
      </c>
      <c r="E7" s="144">
        <f>SP16!G11</f>
        <v>0</v>
      </c>
      <c r="G7" s="41">
        <f>IF(SP16!L15&gt;0,SP16!L15,"")</f>
      </c>
      <c r="H7" s="42" t="str">
        <f>SP16!E15</f>
        <v>Freilos</v>
      </c>
      <c r="I7" s="144">
        <f>SP16!G15</f>
        <v>0</v>
      </c>
      <c r="J7" s="7" t="s">
        <v>119</v>
      </c>
    </row>
    <row r="8" spans="1:11" ht="13.5" thickBot="1">
      <c r="A8" s="44">
        <f>SP16!C19</f>
        <v>17</v>
      </c>
      <c r="B8" s="40" t="str">
        <f>SP16!D19</f>
        <v>Freilos</v>
      </c>
      <c r="C8" s="143">
        <f>SP16!F19</f>
        <v>0</v>
      </c>
      <c r="E8" s="44">
        <f>SP16!C4</f>
        <v>2</v>
      </c>
      <c r="F8" s="40" t="str">
        <f>SP16!D4</f>
        <v>Freilos</v>
      </c>
      <c r="G8" s="143">
        <f>SP16!F4</f>
        <v>0</v>
      </c>
      <c r="I8" s="44">
        <v>21</v>
      </c>
      <c r="J8" s="40" t="str">
        <f>SP16!D23</f>
        <v>Freilos</v>
      </c>
      <c r="K8" s="143">
        <f>SP16!F23</f>
        <v>0</v>
      </c>
    </row>
    <row r="9" spans="1:12" ht="13.5" thickBot="1">
      <c r="A9" s="41">
        <f>IF(SP16!L19&gt;0,SP16!L19,"")</f>
      </c>
      <c r="B9" s="42" t="str">
        <f>SP16!E19</f>
        <v>Freilos</v>
      </c>
      <c r="C9" s="144">
        <f>SP16!G19</f>
        <v>0</v>
      </c>
      <c r="E9" s="41">
        <f>IF(SP16!L4&gt;0,SP16!L4,"")</f>
      </c>
      <c r="F9" s="42" t="str">
        <f>SP16!E4</f>
        <v>Freilos</v>
      </c>
      <c r="G9" s="144">
        <f>SP16!G4</f>
        <v>0</v>
      </c>
      <c r="I9" s="41">
        <f>IF(SP16!L23&gt;0,SP16!L23,"")</f>
      </c>
      <c r="J9" s="42" t="str">
        <f>SP16!E23</f>
        <v>Sieger 17-20</v>
      </c>
      <c r="K9" s="144">
        <f>SP16!G23</f>
        <v>0</v>
      </c>
      <c r="L9" s="7" t="s">
        <v>118</v>
      </c>
    </row>
    <row r="10" spans="1:13" ht="13.5" thickBot="1">
      <c r="A10" s="208"/>
      <c r="B10" s="204" t="s">
        <v>115</v>
      </c>
      <c r="C10" s="208"/>
      <c r="D10" s="210"/>
      <c r="E10" s="208"/>
      <c r="F10" s="209"/>
      <c r="G10" s="208"/>
      <c r="H10" s="211"/>
      <c r="I10" s="43"/>
      <c r="J10" s="43" t="s">
        <v>116</v>
      </c>
      <c r="K10" s="44">
        <v>25</v>
      </c>
      <c r="L10" s="40" t="str">
        <f>SP16!D27</f>
        <v>Sieger 21</v>
      </c>
      <c r="M10" s="143">
        <f>SP16!F27</f>
        <v>0</v>
      </c>
    </row>
    <row r="11" spans="9:13" ht="13.5" thickBot="1">
      <c r="I11" s="203"/>
      <c r="J11" s="202"/>
      <c r="K11" s="41">
        <f>IF(SP16!L27&gt;0,SP16!L27,"")</f>
      </c>
      <c r="L11" s="42" t="str">
        <f>SP16!E27</f>
        <v>Sieger 22</v>
      </c>
      <c r="M11" s="144">
        <f>SP16!G27</f>
        <v>0</v>
      </c>
    </row>
    <row r="12" spans="1:11" ht="13.5" thickBot="1">
      <c r="A12" s="203"/>
      <c r="E12" s="44">
        <f>SP16!C5</f>
        <v>3</v>
      </c>
      <c r="F12" s="146" t="str">
        <f>SP16!D5</f>
        <v>Freilos</v>
      </c>
      <c r="G12" s="143">
        <f>SP16!F5</f>
        <v>0</v>
      </c>
      <c r="I12" s="44">
        <v>22</v>
      </c>
      <c r="J12" s="40" t="str">
        <f>SP16!D24</f>
        <v>Freilos</v>
      </c>
      <c r="K12" s="143">
        <f>SP16!F24</f>
        <v>0</v>
      </c>
    </row>
    <row r="13" spans="1:14" ht="13.5" thickBot="1">
      <c r="A13" s="203"/>
      <c r="E13" s="41">
        <f>IF(SP16!L5&gt;0,SP16!L5,"")</f>
      </c>
      <c r="F13" s="147" t="str">
        <f>SP16!E5</f>
        <v>Freilos</v>
      </c>
      <c r="G13" s="144">
        <f>SP16!G5</f>
        <v>0</v>
      </c>
      <c r="I13" s="41">
        <f>IF(SP16!L24&gt;0,SP16!L24,"")</f>
      </c>
      <c r="J13" s="42" t="str">
        <f>SP16!E24</f>
        <v>Sieger 17-20</v>
      </c>
      <c r="K13" s="144">
        <f>SP16!G24</f>
        <v>0</v>
      </c>
      <c r="M13" s="7" t="s">
        <v>117</v>
      </c>
      <c r="N13" s="7"/>
    </row>
    <row r="14" spans="3:15" ht="13.5" thickBot="1">
      <c r="C14" s="44">
        <f>SP16!C12</f>
        <v>10</v>
      </c>
      <c r="D14" s="145" t="str">
        <f>SP16!D12</f>
        <v>Freilos</v>
      </c>
      <c r="E14" s="143">
        <f>SP16!F12</f>
        <v>0</v>
      </c>
      <c r="G14" s="44">
        <f>SP16!C16</f>
        <v>14</v>
      </c>
      <c r="H14" s="40" t="str">
        <f>SP16!D16</f>
        <v>Freilos</v>
      </c>
      <c r="I14" s="143">
        <f>SP16!F16</f>
        <v>0</v>
      </c>
      <c r="J14" s="43" t="s">
        <v>116</v>
      </c>
      <c r="M14" s="44">
        <v>27</v>
      </c>
      <c r="N14" s="40" t="str">
        <f>SP16!D29</f>
        <v>Verlierer 25</v>
      </c>
      <c r="O14" s="143">
        <f>SP16!F29</f>
        <v>0</v>
      </c>
    </row>
    <row r="15" spans="3:15" ht="13.5" thickBot="1">
      <c r="C15" s="41">
        <f>IF(SP16!L12&gt;0,SP16!L12,"")</f>
      </c>
      <c r="D15" s="42" t="str">
        <f>SP16!E12</f>
        <v>Freilos</v>
      </c>
      <c r="E15" s="144">
        <f>SP16!G12</f>
        <v>0</v>
      </c>
      <c r="G15" s="41">
        <f>IF(SP16!L16&gt;0,SP16!L16,"")</f>
      </c>
      <c r="H15" s="42" t="str">
        <f>SP16!E16</f>
        <v>Freilos</v>
      </c>
      <c r="I15" s="144">
        <f>SP16!G16</f>
        <v>0</v>
      </c>
      <c r="M15" s="41">
        <f>IF(SP16!L29&gt;0,SP16!L29,"")</f>
      </c>
      <c r="N15" s="42" t="str">
        <f>SP16!E29</f>
        <v>Verlierer 26</v>
      </c>
      <c r="O15" s="144">
        <f>SP16!G29</f>
        <v>0</v>
      </c>
    </row>
    <row r="16" spans="1:12" ht="13.5" thickBot="1">
      <c r="A16" s="44">
        <f>SP16!C20</f>
        <v>18</v>
      </c>
      <c r="B16" s="40" t="str">
        <f>SP16!D20</f>
        <v>Freilos</v>
      </c>
      <c r="C16" s="143">
        <f>SP16!F20</f>
        <v>0</v>
      </c>
      <c r="E16" s="44">
        <f>SP16!C6</f>
        <v>4</v>
      </c>
      <c r="F16" s="146" t="str">
        <f>SP16!D6</f>
        <v>Freilos</v>
      </c>
      <c r="G16" s="143">
        <f>SP16!F6</f>
        <v>0</v>
      </c>
      <c r="H16" s="43" t="s">
        <v>55</v>
      </c>
      <c r="L16" s="7"/>
    </row>
    <row r="17" spans="1:14" ht="13.5" thickBot="1">
      <c r="A17" s="41">
        <f>IF(SP16!L20&gt;0,SP16!L20,"")</f>
      </c>
      <c r="B17" s="42" t="str">
        <f>SP16!E20</f>
        <v>Freilos</v>
      </c>
      <c r="C17" s="144">
        <f>SP16!G20</f>
        <v>0</v>
      </c>
      <c r="E17" s="41">
        <f>IF(SP16!L6&gt;0,SP16!L6,"")</f>
      </c>
      <c r="F17" s="147" t="str">
        <f>SP16!E6</f>
        <v>Freilos</v>
      </c>
      <c r="G17" s="144">
        <f>SP16!G6</f>
        <v>0</v>
      </c>
      <c r="K17" s="201"/>
      <c r="L17" s="202"/>
      <c r="M17" s="202"/>
      <c r="N17" s="202"/>
    </row>
    <row r="18" spans="2:14" ht="13.5" thickBot="1">
      <c r="B18" s="204" t="s">
        <v>114</v>
      </c>
      <c r="K18" s="203"/>
      <c r="L18" s="202"/>
      <c r="M18" s="202"/>
      <c r="N18" s="202"/>
    </row>
    <row r="19" spans="5:14" ht="13.5" thickBot="1">
      <c r="E19" s="44">
        <f>SP16!C7</f>
        <v>5</v>
      </c>
      <c r="F19" s="146" t="str">
        <f>SP16!D7</f>
        <v>Freilos</v>
      </c>
      <c r="G19" s="143">
        <f>SP16!F7</f>
        <v>0</v>
      </c>
      <c r="K19" s="202"/>
      <c r="L19" s="204"/>
      <c r="M19" s="7" t="s">
        <v>112</v>
      </c>
      <c r="N19" s="202"/>
    </row>
    <row r="20" spans="5:15" ht="13.5" thickBot="1">
      <c r="E20" s="41">
        <f>IF(SP16!L7&gt;0,SP16!L7,"")</f>
      </c>
      <c r="F20" s="147" t="str">
        <f>SP16!E7</f>
        <v>Freilos</v>
      </c>
      <c r="G20" s="144">
        <f>SP16!G7</f>
        <v>0</v>
      </c>
      <c r="H20" s="43" t="s">
        <v>58</v>
      </c>
      <c r="K20" s="202"/>
      <c r="L20" s="205"/>
      <c r="M20" s="44">
        <v>28</v>
      </c>
      <c r="N20" s="40" t="str">
        <f>SP16!D30</f>
        <v>Sieger 25</v>
      </c>
      <c r="O20" s="143">
        <f>SP16!F30</f>
        <v>0</v>
      </c>
    </row>
    <row r="21" spans="3:15" ht="13.5" thickBot="1">
      <c r="C21" s="44">
        <f>SP16!C13</f>
        <v>11</v>
      </c>
      <c r="D21" s="40" t="str">
        <f>SP16!D13</f>
        <v>Freilos</v>
      </c>
      <c r="E21" s="143">
        <f>SP16!F13</f>
        <v>0</v>
      </c>
      <c r="G21" s="44">
        <f>SP16!C17</f>
        <v>15</v>
      </c>
      <c r="H21" s="40" t="str">
        <f>SP16!D17</f>
        <v>Freilos</v>
      </c>
      <c r="I21" s="143">
        <f>SP16!F17</f>
        <v>0</v>
      </c>
      <c r="K21" s="201"/>
      <c r="L21" s="202"/>
      <c r="M21" s="41">
        <f>IF(SP16!L30&gt;0,SP16!L30,"")</f>
      </c>
      <c r="N21" s="42" t="str">
        <f>SP16!E30</f>
        <v>Sieger 26</v>
      </c>
      <c r="O21" s="144">
        <f>SP16!G30</f>
        <v>0</v>
      </c>
    </row>
    <row r="22" spans="3:14" ht="13.5" thickBot="1">
      <c r="C22" s="148">
        <f>IF(SP16!L13&gt;0,SP16!L13,"")</f>
      </c>
      <c r="D22" s="42" t="str">
        <f>SP16!E13</f>
        <v>Freilos</v>
      </c>
      <c r="E22" s="144">
        <f>SP16!G13</f>
        <v>0</v>
      </c>
      <c r="G22" s="41">
        <f>IF(SP16!L17&gt;0,SP16!L17,"")</f>
      </c>
      <c r="H22" s="42" t="str">
        <f>SP16!E17</f>
        <v>Freilos</v>
      </c>
      <c r="I22" s="144">
        <f>SP16!G17</f>
        <v>0</v>
      </c>
      <c r="K22" s="203"/>
      <c r="L22" s="202"/>
      <c r="M22" s="202"/>
      <c r="N22" s="202"/>
    </row>
    <row r="23" spans="1:14" ht="13.5" thickBot="1">
      <c r="A23" s="44">
        <f>SP16!C21</f>
        <v>19</v>
      </c>
      <c r="B23" s="40" t="str">
        <f>SP16!D21</f>
        <v>Freilos</v>
      </c>
      <c r="C23" s="143">
        <f>SP16!F21</f>
        <v>0</v>
      </c>
      <c r="E23" s="44">
        <f>SP16!C8</f>
        <v>6</v>
      </c>
      <c r="F23" s="146" t="str">
        <f>SP16!D8</f>
        <v>Freilos</v>
      </c>
      <c r="G23" s="143">
        <f>SP16!F8</f>
        <v>0</v>
      </c>
      <c r="I23" s="44">
        <v>23</v>
      </c>
      <c r="J23" s="40" t="str">
        <f>SP16!D25</f>
        <v>Freilos</v>
      </c>
      <c r="K23" s="143">
        <f>SP16!F25</f>
        <v>0</v>
      </c>
      <c r="L23" s="204"/>
      <c r="M23" s="202"/>
      <c r="N23" s="202"/>
    </row>
    <row r="24" spans="1:14" ht="13.5" thickBot="1">
      <c r="A24" s="41">
        <f>IF(SP16!L21&gt;0,SP16!L21,"")</f>
      </c>
      <c r="B24" s="42" t="str">
        <f>SP16!E21</f>
        <v>Freilos</v>
      </c>
      <c r="C24" s="144">
        <f>SP16!G21</f>
        <v>0</v>
      </c>
      <c r="E24" s="41">
        <f>IF(SP16!L8&gt;0,SP16!L8,"")</f>
      </c>
      <c r="F24" s="147" t="str">
        <f>SP16!E8</f>
        <v>Freilos</v>
      </c>
      <c r="G24" s="144">
        <f>SP16!G8</f>
        <v>0</v>
      </c>
      <c r="I24" s="41">
        <f>IF(SP16!L25&gt;0,SP16!L25,"")</f>
      </c>
      <c r="J24" s="42" t="str">
        <f>SP16!E25</f>
        <v>Sieger 17-20</v>
      </c>
      <c r="K24" s="144">
        <f>SP16!G25</f>
        <v>0</v>
      </c>
      <c r="L24" s="202"/>
      <c r="M24" s="202"/>
      <c r="N24" s="202"/>
    </row>
    <row r="25" spans="1:14" ht="13.5" thickBot="1">
      <c r="A25" s="203"/>
      <c r="B25" s="204" t="s">
        <v>114</v>
      </c>
      <c r="C25" s="203"/>
      <c r="D25" s="207"/>
      <c r="E25" s="203"/>
      <c r="F25" s="202"/>
      <c r="G25" s="203"/>
      <c r="H25" s="45"/>
      <c r="I25" s="203"/>
      <c r="J25" s="43" t="s">
        <v>116</v>
      </c>
      <c r="K25" s="44">
        <v>26</v>
      </c>
      <c r="L25" s="40" t="str">
        <f>SP16!D28</f>
        <v>Sieger 23</v>
      </c>
      <c r="M25" s="143">
        <f>SP16!F28</f>
        <v>0</v>
      </c>
      <c r="N25" s="202"/>
    </row>
    <row r="26" spans="9:14" ht="13.5" thickBot="1">
      <c r="I26" s="203"/>
      <c r="J26" s="202"/>
      <c r="K26" s="41">
        <f>IF(SP16!L28&gt;0,SP16!L28,"")</f>
      </c>
      <c r="L26" s="42" t="str">
        <f>SP16!E28</f>
        <v>Sieger 24</v>
      </c>
      <c r="M26" s="144">
        <f>SP16!G28</f>
        <v>0</v>
      </c>
      <c r="N26" s="202"/>
    </row>
    <row r="27" spans="1:14" ht="13.5" thickBot="1">
      <c r="A27" s="203"/>
      <c r="E27" s="44">
        <f>SP16!C9</f>
        <v>7</v>
      </c>
      <c r="F27" s="146" t="str">
        <f>SP16!D9</f>
        <v>Freilos</v>
      </c>
      <c r="G27" s="143">
        <f>SP16!F9</f>
        <v>0</v>
      </c>
      <c r="I27" s="44">
        <v>24</v>
      </c>
      <c r="J27" s="40" t="str">
        <f>SP16!D26</f>
        <v>Freilos</v>
      </c>
      <c r="K27" s="143">
        <f>SP16!F26</f>
        <v>0</v>
      </c>
      <c r="L27" s="202"/>
      <c r="M27" s="202"/>
      <c r="N27" s="202"/>
    </row>
    <row r="28" spans="1:14" ht="13.5" thickBot="1">
      <c r="A28" s="203"/>
      <c r="E28" s="41">
        <f>IF(SP16!L9&gt;0,SP16!L9,"")</f>
      </c>
      <c r="F28" s="147" t="str">
        <f>SP16!E9</f>
        <v>Freilos</v>
      </c>
      <c r="G28" s="144">
        <f>SP16!G9</f>
        <v>0</v>
      </c>
      <c r="I28" s="41">
        <f>IF(SP16!L26&gt;0,SP16!L26,"")</f>
      </c>
      <c r="J28" s="42" t="str">
        <f>SP16!E26</f>
        <v>Sieger 17-20</v>
      </c>
      <c r="K28" s="144">
        <f>SP16!G26</f>
        <v>0</v>
      </c>
      <c r="L28" s="205"/>
      <c r="M28" s="202"/>
      <c r="N28" s="202"/>
    </row>
    <row r="29" spans="3:14" ht="13.5" thickBot="1">
      <c r="C29" s="44">
        <f>SP16!C14</f>
        <v>12</v>
      </c>
      <c r="D29" s="145" t="str">
        <f>SP16!D14</f>
        <v>Freilos</v>
      </c>
      <c r="E29" s="143">
        <f>SP16!F14</f>
        <v>0</v>
      </c>
      <c r="G29" s="44">
        <f>SP16!C18</f>
        <v>16</v>
      </c>
      <c r="H29" s="40" t="str">
        <f>SP16!D18</f>
        <v>Freilos</v>
      </c>
      <c r="I29" s="143">
        <f>SP16!F18</f>
        <v>0</v>
      </c>
      <c r="J29" s="43" t="s">
        <v>116</v>
      </c>
      <c r="K29" s="201"/>
      <c r="L29" s="202"/>
      <c r="M29" s="202"/>
      <c r="N29" s="202"/>
    </row>
    <row r="30" spans="3:14" ht="13.5" thickBot="1">
      <c r="C30" s="41">
        <f>IF(SP16!L14&gt;0,SP16!L14,"")</f>
      </c>
      <c r="D30" s="42" t="str">
        <f>SP16!E14</f>
        <v>Freilos</v>
      </c>
      <c r="E30" s="144">
        <f>SP16!G14</f>
        <v>0</v>
      </c>
      <c r="G30" s="41">
        <f>IF(SP16!L18&gt;0,SP16!L18,"")</f>
      </c>
      <c r="H30" s="42" t="str">
        <f>SP16!E18</f>
        <v>Freilos</v>
      </c>
      <c r="I30" s="144">
        <f>SP16!G18</f>
        <v>0</v>
      </c>
      <c r="K30" s="203"/>
      <c r="L30" s="202"/>
      <c r="M30" s="202"/>
      <c r="N30" s="202"/>
    </row>
    <row r="31" spans="1:14" ht="13.5" thickBot="1">
      <c r="A31" s="44">
        <f>SP16!C22</f>
        <v>20</v>
      </c>
      <c r="B31" s="40" t="str">
        <f>SP16!D22</f>
        <v>Freilos</v>
      </c>
      <c r="C31" s="143">
        <f>SP16!F22</f>
        <v>0</v>
      </c>
      <c r="E31" s="44">
        <f>SP16!C10</f>
        <v>8</v>
      </c>
      <c r="F31" s="146" t="str">
        <f>SP16!D10</f>
        <v>Freilos</v>
      </c>
      <c r="G31" s="143">
        <f>SP16!F10</f>
        <v>0</v>
      </c>
      <c r="H31" s="43" t="s">
        <v>57</v>
      </c>
      <c r="K31" s="206"/>
      <c r="L31" s="202"/>
      <c r="M31" s="202"/>
      <c r="N31" s="202"/>
    </row>
    <row r="32" spans="1:14" ht="13.5" thickBot="1">
      <c r="A32" s="41"/>
      <c r="B32" s="42" t="str">
        <f>SP16!E22</f>
        <v>Freilos</v>
      </c>
      <c r="C32" s="144">
        <f>SP16!G22</f>
        <v>0</v>
      </c>
      <c r="E32" s="41">
        <f>IF(SP16!L10&gt;0,SP16!L10,"")</f>
      </c>
      <c r="F32" s="147" t="str">
        <f>SP16!E10</f>
        <v>Freilos</v>
      </c>
      <c r="G32" s="144">
        <f>SP16!G10</f>
        <v>0</v>
      </c>
      <c r="K32" s="206"/>
      <c r="L32" s="202"/>
      <c r="M32" s="202"/>
      <c r="N32" s="202"/>
    </row>
    <row r="33" spans="2:14" ht="12.75">
      <c r="B33" s="204" t="s">
        <v>114</v>
      </c>
      <c r="E33" s="45"/>
      <c r="K33" s="202"/>
      <c r="L33" s="202"/>
      <c r="M33" s="202"/>
      <c r="N33" s="202"/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8"/>
  <sheetViews>
    <sheetView showGridLines="0" showRowColHeaders="0" showZeros="0" showOutlineSymbols="0" zoomScale="140" zoomScaleNormal="140" workbookViewId="0" topLeftCell="A1">
      <selection activeCell="B11" sqref="B11:D11"/>
    </sheetView>
  </sheetViews>
  <sheetFormatPr defaultColWidth="11.421875" defaultRowHeight="12.75"/>
  <cols>
    <col min="1" max="7" width="11.421875" style="2" customWidth="1"/>
    <col min="8" max="8" width="13.00390625" style="2" bestFit="1" customWidth="1"/>
    <col min="9" max="16384" width="11.421875" style="2" customWidth="1"/>
  </cols>
  <sheetData>
    <row r="1" ht="13.5" thickBot="1"/>
    <row r="2" spans="2:8" ht="26.25" thickBot="1">
      <c r="B2" s="279">
        <f>Auslosung_Turnierdaten!G26</f>
        <v>0</v>
      </c>
      <c r="C2" s="280"/>
      <c r="D2" s="280"/>
      <c r="E2" s="280"/>
      <c r="F2" s="280"/>
      <c r="G2" s="280"/>
      <c r="H2" s="281"/>
    </row>
    <row r="3" spans="2:8" ht="20.25">
      <c r="B3" s="282">
        <f>Auslosung_Turnierdaten!G28</f>
        <v>0</v>
      </c>
      <c r="C3" s="277"/>
      <c r="D3" s="277"/>
      <c r="E3" s="277"/>
      <c r="F3" s="277"/>
      <c r="G3" s="277"/>
      <c r="H3" s="277"/>
    </row>
    <row r="4" spans="2:8" ht="20.25">
      <c r="B4" s="277">
        <f>Auslosung_Turnierdaten!G27</f>
        <v>0</v>
      </c>
      <c r="C4" s="277"/>
      <c r="D4" s="277"/>
      <c r="E4" s="277"/>
      <c r="F4" s="277"/>
      <c r="G4" s="277"/>
      <c r="H4" s="277"/>
    </row>
    <row r="5" spans="2:8" ht="20.25">
      <c r="B5" s="235"/>
      <c r="C5" s="235"/>
      <c r="D5" s="235"/>
      <c r="E5" s="235" t="s">
        <v>181</v>
      </c>
      <c r="F5" s="235"/>
      <c r="G5" s="235"/>
      <c r="H5" s="235"/>
    </row>
    <row r="6" spans="2:5" ht="18">
      <c r="B6" s="153"/>
      <c r="C6" s="153"/>
      <c r="D6" s="153"/>
      <c r="E6" s="153"/>
    </row>
    <row r="7" spans="1:9" ht="26.25">
      <c r="A7" s="154"/>
      <c r="B7" s="283" t="s">
        <v>73</v>
      </c>
      <c r="C7" s="284"/>
      <c r="D7" s="236">
        <v>4</v>
      </c>
      <c r="E7" s="237"/>
      <c r="F7" s="283" t="s">
        <v>74</v>
      </c>
      <c r="G7" s="284"/>
      <c r="H7" s="238">
        <f>VLOOKUP($D$7,SP16_2,10,0)</f>
        <v>0</v>
      </c>
      <c r="I7" s="155"/>
    </row>
    <row r="8" ht="18">
      <c r="C8" s="153"/>
    </row>
    <row r="9" spans="2:8" ht="20.25">
      <c r="B9" s="285" t="str">
        <f>VLOOKUP($D$7,SP16,2,0)</f>
        <v>Freilos</v>
      </c>
      <c r="C9" s="285"/>
      <c r="D9" s="285"/>
      <c r="E9" s="234" t="s">
        <v>188</v>
      </c>
      <c r="F9" s="285" t="str">
        <f>VLOOKUP($D$7,SP16,3,0)</f>
        <v>Freilos</v>
      </c>
      <c r="G9" s="285"/>
      <c r="H9" s="285"/>
    </row>
    <row r="10" spans="2:8" ht="12.75">
      <c r="B10" s="286" t="s">
        <v>76</v>
      </c>
      <c r="C10" s="286"/>
      <c r="D10" s="286"/>
      <c r="E10" s="157"/>
      <c r="F10" s="286" t="s">
        <v>77</v>
      </c>
      <c r="G10" s="286"/>
      <c r="H10" s="286"/>
    </row>
    <row r="11" spans="2:8" ht="23.25">
      <c r="B11" s="276" t="s">
        <v>78</v>
      </c>
      <c r="C11" s="276"/>
      <c r="D11" s="276"/>
      <c r="E11" s="156" t="s">
        <v>75</v>
      </c>
      <c r="F11" s="276" t="s">
        <v>78</v>
      </c>
      <c r="G11" s="276"/>
      <c r="H11" s="276"/>
    </row>
    <row r="12" spans="2:8" ht="23.25">
      <c r="B12" s="158"/>
      <c r="C12" s="158"/>
      <c r="D12" s="158"/>
      <c r="E12" s="156"/>
      <c r="F12" s="158"/>
      <c r="G12" s="158"/>
      <c r="H12" s="158"/>
    </row>
    <row r="13" spans="1:9" ht="20.25">
      <c r="A13" s="277" t="s">
        <v>79</v>
      </c>
      <c r="B13" s="277"/>
      <c r="C13" s="277"/>
      <c r="D13" s="277"/>
      <c r="E13" s="277"/>
      <c r="F13" s="277"/>
      <c r="G13" s="277"/>
      <c r="H13" s="277"/>
      <c r="I13" s="277"/>
    </row>
    <row r="14" spans="1:9" ht="12.75">
      <c r="A14" s="278"/>
      <c r="B14" s="278"/>
      <c r="C14" s="278"/>
      <c r="D14" s="278"/>
      <c r="E14" s="278"/>
      <c r="F14" s="278"/>
      <c r="G14" s="278"/>
      <c r="H14" s="278"/>
      <c r="I14" s="278"/>
    </row>
    <row r="18" ht="12.75">
      <c r="E18" s="243"/>
    </row>
  </sheetData>
  <sheetProtection/>
  <mergeCells count="13">
    <mergeCell ref="B9:D9"/>
    <mergeCell ref="F9:H9"/>
    <mergeCell ref="B10:D10"/>
    <mergeCell ref="F10:H10"/>
    <mergeCell ref="B2:H2"/>
    <mergeCell ref="B3:H3"/>
    <mergeCell ref="B4:H4"/>
    <mergeCell ref="B7:C7"/>
    <mergeCell ref="F7:G7"/>
    <mergeCell ref="B11:D11"/>
    <mergeCell ref="F11:H11"/>
    <mergeCell ref="A13:I13"/>
    <mergeCell ref="A14:I14"/>
  </mergeCells>
  <printOptions/>
  <pageMargins left="0.5905511811023623" right="0.5905511811023623" top="0.5905511811023623" bottom="0.3937007874015748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L44"/>
  <sheetViews>
    <sheetView zoomScalePageLayoutView="0" workbookViewId="0" topLeftCell="A16">
      <selection activeCell="F52" sqref="F52"/>
    </sheetView>
  </sheetViews>
  <sheetFormatPr defaultColWidth="11.421875" defaultRowHeight="12.75"/>
  <cols>
    <col min="2" max="2" width="8.7109375" style="0" customWidth="1"/>
    <col min="3" max="3" width="20.140625" style="0" customWidth="1"/>
    <col min="4" max="4" width="2.00390625" style="0" bestFit="1" customWidth="1"/>
    <col min="5" max="5" width="7.00390625" style="0" customWidth="1"/>
    <col min="6" max="6" width="2.00390625" style="0" bestFit="1" customWidth="1"/>
    <col min="7" max="7" width="3.00390625" style="0" bestFit="1" customWidth="1"/>
    <col min="8" max="9" width="2.00390625" style="0" bestFit="1" customWidth="1"/>
    <col min="10" max="11" width="3.00390625" style="0" bestFit="1" customWidth="1"/>
    <col min="12" max="12" width="4.57421875" style="0" bestFit="1" customWidth="1"/>
  </cols>
  <sheetData>
    <row r="1" spans="1:12" ht="12.75">
      <c r="A1">
        <v>1</v>
      </c>
      <c r="B1" t="str">
        <f>SP16!D3</f>
        <v>Freilos</v>
      </c>
      <c r="C1" t="str">
        <f>SP16!E3</f>
        <v>Freilos</v>
      </c>
      <c r="D1">
        <f>SP16!F3</f>
        <v>0</v>
      </c>
      <c r="E1">
        <f>SP16!G3</f>
        <v>0</v>
      </c>
      <c r="F1">
        <f>SP16!H3</f>
        <v>0</v>
      </c>
      <c r="G1">
        <f>SP16!I3</f>
        <v>0</v>
      </c>
      <c r="H1">
        <f>SP16!J3</f>
        <v>0</v>
      </c>
      <c r="I1">
        <f>SP16!K3</f>
        <v>0</v>
      </c>
      <c r="J1">
        <f>SP16!L3</f>
        <v>0</v>
      </c>
      <c r="K1">
        <v>0</v>
      </c>
      <c r="L1">
        <v>0</v>
      </c>
    </row>
    <row r="2" spans="1:12" ht="12.75">
      <c r="A2">
        <v>2</v>
      </c>
      <c r="B2" t="str">
        <f>SP16!D4</f>
        <v>Freilos</v>
      </c>
      <c r="C2" t="str">
        <f>SP16!E4</f>
        <v>Freilos</v>
      </c>
      <c r="D2">
        <f>SP16!F4</f>
        <v>0</v>
      </c>
      <c r="E2">
        <f>SP16!G4</f>
        <v>0</v>
      </c>
      <c r="F2">
        <f>SP16!H4</f>
        <v>0</v>
      </c>
      <c r="G2">
        <f>SP16!I4</f>
        <v>0</v>
      </c>
      <c r="H2">
        <f>SP16!J4</f>
        <v>0</v>
      </c>
      <c r="I2">
        <f>SP16!K4</f>
        <v>0</v>
      </c>
      <c r="J2">
        <f>SP16!L4</f>
        <v>0</v>
      </c>
      <c r="K2">
        <v>0</v>
      </c>
      <c r="L2">
        <v>0</v>
      </c>
    </row>
    <row r="3" spans="1:12" ht="12.75">
      <c r="A3">
        <v>3</v>
      </c>
      <c r="B3" t="str">
        <f>SP16!D5</f>
        <v>Freilos</v>
      </c>
      <c r="C3" t="str">
        <f>SP16!E5</f>
        <v>Freilos</v>
      </c>
      <c r="D3">
        <f>SP16!F5</f>
        <v>0</v>
      </c>
      <c r="E3">
        <f>SP16!G5</f>
        <v>0</v>
      </c>
      <c r="F3">
        <f>SP16!H5</f>
        <v>0</v>
      </c>
      <c r="G3">
        <f>SP16!I5</f>
        <v>0</v>
      </c>
      <c r="H3">
        <f>SP16!J5</f>
        <v>0</v>
      </c>
      <c r="I3">
        <f>SP16!K5</f>
        <v>0</v>
      </c>
      <c r="J3">
        <f>SP16!L5</f>
        <v>0</v>
      </c>
      <c r="K3">
        <v>0</v>
      </c>
      <c r="L3">
        <v>0</v>
      </c>
    </row>
    <row r="4" spans="1:12" ht="12.75">
      <c r="A4">
        <v>4</v>
      </c>
      <c r="B4" t="str">
        <f>SP16!D6</f>
        <v>Freilos</v>
      </c>
      <c r="C4" t="str">
        <f>SP16!E6</f>
        <v>Freilos</v>
      </c>
      <c r="D4">
        <f>SP16!F6</f>
        <v>0</v>
      </c>
      <c r="E4">
        <f>SP16!G6</f>
        <v>0</v>
      </c>
      <c r="F4">
        <f>SP16!H6</f>
        <v>0</v>
      </c>
      <c r="G4">
        <f>SP16!I6</f>
        <v>0</v>
      </c>
      <c r="H4">
        <f>SP16!J6</f>
        <v>0</v>
      </c>
      <c r="I4">
        <f>SP16!K6</f>
        <v>0</v>
      </c>
      <c r="J4">
        <f>SP16!L6</f>
        <v>0</v>
      </c>
      <c r="K4">
        <v>0</v>
      </c>
      <c r="L4">
        <v>0</v>
      </c>
    </row>
    <row r="5" spans="1:12" ht="12.75">
      <c r="A5">
        <v>5</v>
      </c>
      <c r="B5" t="str">
        <f>SP16!D7</f>
        <v>Freilos</v>
      </c>
      <c r="C5" t="str">
        <f>SP16!E7</f>
        <v>Freilos</v>
      </c>
      <c r="D5">
        <f>SP16!F7</f>
        <v>0</v>
      </c>
      <c r="E5">
        <f>SP16!G7</f>
        <v>0</v>
      </c>
      <c r="F5">
        <f>SP16!H7</f>
        <v>0</v>
      </c>
      <c r="G5">
        <f>SP16!I7</f>
        <v>0</v>
      </c>
      <c r="H5">
        <f>SP16!J7</f>
        <v>0</v>
      </c>
      <c r="I5">
        <f>SP16!K7</f>
        <v>0</v>
      </c>
      <c r="J5">
        <f>SP16!L7</f>
        <v>0</v>
      </c>
      <c r="K5">
        <v>0</v>
      </c>
      <c r="L5">
        <v>0</v>
      </c>
    </row>
    <row r="6" spans="1:12" ht="12.75">
      <c r="A6">
        <v>6</v>
      </c>
      <c r="B6" t="str">
        <f>SP16!D8</f>
        <v>Freilos</v>
      </c>
      <c r="C6" t="str">
        <f>SP16!E8</f>
        <v>Freilos</v>
      </c>
      <c r="D6">
        <f>SP16!F8</f>
        <v>0</v>
      </c>
      <c r="E6">
        <f>SP16!G8</f>
        <v>0</v>
      </c>
      <c r="F6">
        <f>SP16!H8</f>
        <v>0</v>
      </c>
      <c r="G6">
        <f>SP16!I8</f>
        <v>0</v>
      </c>
      <c r="H6">
        <f>SP16!J8</f>
        <v>0</v>
      </c>
      <c r="I6">
        <f>SP16!K8</f>
        <v>0</v>
      </c>
      <c r="J6">
        <f>SP16!L8</f>
        <v>0</v>
      </c>
      <c r="K6">
        <v>0</v>
      </c>
      <c r="L6">
        <v>0</v>
      </c>
    </row>
    <row r="7" spans="1:12" ht="12.75">
      <c r="A7">
        <v>7</v>
      </c>
      <c r="B7" t="str">
        <f>SP16!D9</f>
        <v>Freilos</v>
      </c>
      <c r="C7" t="str">
        <f>SP16!E9</f>
        <v>Freilos</v>
      </c>
      <c r="D7">
        <f>SP16!F9</f>
        <v>0</v>
      </c>
      <c r="E7">
        <f>SP16!G9</f>
        <v>0</v>
      </c>
      <c r="F7">
        <f>SP16!H9</f>
        <v>0</v>
      </c>
      <c r="G7">
        <f>SP16!I9</f>
        <v>0</v>
      </c>
      <c r="H7">
        <f>SP16!J9</f>
        <v>0</v>
      </c>
      <c r="I7">
        <f>SP16!K9</f>
        <v>0</v>
      </c>
      <c r="J7">
        <f>SP16!L9</f>
        <v>0</v>
      </c>
      <c r="K7">
        <v>0</v>
      </c>
      <c r="L7">
        <v>0</v>
      </c>
    </row>
    <row r="8" spans="1:12" ht="12.75">
      <c r="A8">
        <v>8</v>
      </c>
      <c r="B8" t="str">
        <f>SP16!D10</f>
        <v>Freilos</v>
      </c>
      <c r="C8" t="str">
        <f>SP16!E10</f>
        <v>Freilos</v>
      </c>
      <c r="D8">
        <f>SP16!F10</f>
        <v>0</v>
      </c>
      <c r="E8">
        <f>SP16!G10</f>
        <v>0</v>
      </c>
      <c r="F8">
        <f>SP16!H10</f>
        <v>0</v>
      </c>
      <c r="G8">
        <f>SP16!I10</f>
        <v>0</v>
      </c>
      <c r="H8">
        <f>SP16!J10</f>
        <v>0</v>
      </c>
      <c r="I8">
        <f>SP16!K10</f>
        <v>0</v>
      </c>
      <c r="J8">
        <f>SP16!L10</f>
        <v>0</v>
      </c>
      <c r="K8">
        <v>0</v>
      </c>
      <c r="L8">
        <v>0</v>
      </c>
    </row>
    <row r="9" spans="1:12" ht="12.75">
      <c r="A9">
        <v>9</v>
      </c>
      <c r="B9" t="str">
        <f>SP16!D11</f>
        <v>Freilos</v>
      </c>
      <c r="C9" t="str">
        <f>SP16!E11</f>
        <v>Freilos</v>
      </c>
      <c r="D9">
        <f>SP16!F11</f>
        <v>0</v>
      </c>
      <c r="E9">
        <f>SP16!G11</f>
        <v>0</v>
      </c>
      <c r="F9">
        <f>SP16!H11</f>
        <v>0</v>
      </c>
      <c r="G9">
        <f>SP16!I11</f>
        <v>0</v>
      </c>
      <c r="H9">
        <f>SP16!J11</f>
        <v>0</v>
      </c>
      <c r="I9">
        <f>SP16!K11</f>
        <v>0</v>
      </c>
      <c r="J9">
        <f>SP16!L11</f>
        <v>0</v>
      </c>
      <c r="K9">
        <v>0</v>
      </c>
      <c r="L9">
        <v>0</v>
      </c>
    </row>
    <row r="10" spans="1:12" ht="12.75">
      <c r="A10">
        <v>10</v>
      </c>
      <c r="B10" t="str">
        <f>SP16!D12</f>
        <v>Freilos</v>
      </c>
      <c r="C10" t="str">
        <f>SP16!E12</f>
        <v>Freilos</v>
      </c>
      <c r="D10">
        <f>SP16!F12</f>
        <v>0</v>
      </c>
      <c r="E10">
        <f>SP16!G12</f>
        <v>0</v>
      </c>
      <c r="F10">
        <f>SP16!H12</f>
        <v>0</v>
      </c>
      <c r="G10">
        <f>SP16!I12</f>
        <v>0</v>
      </c>
      <c r="H10">
        <f>SP16!J12</f>
        <v>0</v>
      </c>
      <c r="I10">
        <f>SP16!K12</f>
        <v>0</v>
      </c>
      <c r="J10">
        <f>SP16!L12</f>
        <v>0</v>
      </c>
      <c r="K10">
        <v>0</v>
      </c>
      <c r="L10">
        <v>0</v>
      </c>
    </row>
    <row r="11" spans="1:12" ht="12.75">
      <c r="A11">
        <v>11</v>
      </c>
      <c r="B11" t="str">
        <f>SP16!D13</f>
        <v>Freilos</v>
      </c>
      <c r="C11" t="str">
        <f>SP16!E13</f>
        <v>Freilos</v>
      </c>
      <c r="D11">
        <f>SP16!F13</f>
        <v>0</v>
      </c>
      <c r="E11">
        <f>SP16!G13</f>
        <v>0</v>
      </c>
      <c r="F11">
        <f>SP16!H13</f>
        <v>0</v>
      </c>
      <c r="G11">
        <f>SP16!I13</f>
        <v>0</v>
      </c>
      <c r="H11">
        <f>SP16!J13</f>
        <v>0</v>
      </c>
      <c r="I11">
        <f>SP16!K13</f>
        <v>0</v>
      </c>
      <c r="J11">
        <f>SP16!L13</f>
        <v>0</v>
      </c>
      <c r="K11">
        <v>0</v>
      </c>
      <c r="L11">
        <v>0</v>
      </c>
    </row>
    <row r="12" spans="1:12" ht="12.75">
      <c r="A12">
        <v>12</v>
      </c>
      <c r="B12" t="str">
        <f>SP16!D14</f>
        <v>Freilos</v>
      </c>
      <c r="C12" t="str">
        <f>SP16!E14</f>
        <v>Freilos</v>
      </c>
      <c r="D12">
        <f>SP16!F14</f>
        <v>0</v>
      </c>
      <c r="E12">
        <f>SP16!G14</f>
        <v>0</v>
      </c>
      <c r="F12">
        <f>SP16!H14</f>
        <v>0</v>
      </c>
      <c r="G12">
        <f>SP16!I14</f>
        <v>0</v>
      </c>
      <c r="H12">
        <f>SP16!J14</f>
        <v>0</v>
      </c>
      <c r="I12">
        <f>SP16!K14</f>
        <v>0</v>
      </c>
      <c r="J12">
        <f>SP16!L14</f>
        <v>0</v>
      </c>
      <c r="K12">
        <v>0</v>
      </c>
      <c r="L12">
        <v>0</v>
      </c>
    </row>
    <row r="13" spans="1:12" ht="12.75">
      <c r="A13">
        <v>13</v>
      </c>
      <c r="B13" t="str">
        <f>SP16!D15</f>
        <v>Freilos</v>
      </c>
      <c r="C13" t="str">
        <f>SP16!E15</f>
        <v>Freilos</v>
      </c>
      <c r="D13">
        <f>SP16!F15</f>
        <v>0</v>
      </c>
      <c r="E13">
        <f>SP16!G15</f>
        <v>0</v>
      </c>
      <c r="F13">
        <f>SP16!H15</f>
        <v>0</v>
      </c>
      <c r="G13">
        <f>SP16!I15</f>
        <v>0</v>
      </c>
      <c r="H13">
        <f>SP16!J15</f>
        <v>0</v>
      </c>
      <c r="I13">
        <f>SP16!K15</f>
        <v>0</v>
      </c>
      <c r="J13">
        <f>SP16!L15</f>
        <v>0</v>
      </c>
      <c r="K13">
        <v>0</v>
      </c>
      <c r="L13">
        <v>0</v>
      </c>
    </row>
    <row r="14" spans="1:12" ht="12.75">
      <c r="A14">
        <v>14</v>
      </c>
      <c r="B14" t="str">
        <f>SP16!D16</f>
        <v>Freilos</v>
      </c>
      <c r="C14" t="str">
        <f>SP16!E16</f>
        <v>Freilos</v>
      </c>
      <c r="D14">
        <f>SP16!F16</f>
        <v>0</v>
      </c>
      <c r="E14">
        <f>SP16!G16</f>
        <v>0</v>
      </c>
      <c r="F14">
        <f>SP16!H16</f>
        <v>0</v>
      </c>
      <c r="G14">
        <f>SP16!I16</f>
        <v>0</v>
      </c>
      <c r="H14">
        <f>SP16!J16</f>
        <v>0</v>
      </c>
      <c r="I14">
        <f>SP16!K16</f>
        <v>0</v>
      </c>
      <c r="J14">
        <f>SP16!L16</f>
        <v>0</v>
      </c>
      <c r="K14">
        <v>0</v>
      </c>
      <c r="L14">
        <v>0</v>
      </c>
    </row>
    <row r="15" spans="1:12" ht="12.75">
      <c r="A15">
        <v>15</v>
      </c>
      <c r="B15" t="str">
        <f>SP16!D17</f>
        <v>Freilos</v>
      </c>
      <c r="C15" t="str">
        <f>SP16!E17</f>
        <v>Freilos</v>
      </c>
      <c r="D15">
        <f>SP16!F17</f>
        <v>0</v>
      </c>
      <c r="E15">
        <f>SP16!G17</f>
        <v>0</v>
      </c>
      <c r="F15">
        <f>SP16!H17</f>
        <v>0</v>
      </c>
      <c r="G15">
        <f>SP16!I17</f>
        <v>0</v>
      </c>
      <c r="H15">
        <f>SP16!J17</f>
        <v>0</v>
      </c>
      <c r="I15">
        <f>SP16!K17</f>
        <v>0</v>
      </c>
      <c r="J15">
        <f>SP16!L17</f>
        <v>0</v>
      </c>
      <c r="K15">
        <v>0</v>
      </c>
      <c r="L15">
        <v>0</v>
      </c>
    </row>
    <row r="16" spans="1:12" ht="12.75">
      <c r="A16">
        <v>16</v>
      </c>
      <c r="B16" t="str">
        <f>SP16!D18</f>
        <v>Freilos</v>
      </c>
      <c r="C16" t="str">
        <f>SP16!E18</f>
        <v>Freilos</v>
      </c>
      <c r="D16">
        <f>SP16!F18</f>
        <v>0</v>
      </c>
      <c r="E16">
        <f>SP16!G18</f>
        <v>0</v>
      </c>
      <c r="F16">
        <f>SP16!H18</f>
        <v>0</v>
      </c>
      <c r="G16">
        <f>SP16!I18</f>
        <v>0</v>
      </c>
      <c r="H16">
        <f>SP16!J18</f>
        <v>0</v>
      </c>
      <c r="I16">
        <f>SP16!K18</f>
        <v>0</v>
      </c>
      <c r="J16">
        <f>SP16!L18</f>
        <v>0</v>
      </c>
      <c r="K16">
        <v>0</v>
      </c>
      <c r="L16">
        <v>0</v>
      </c>
    </row>
    <row r="17" spans="1:12" ht="12.75">
      <c r="A17">
        <v>17</v>
      </c>
      <c r="B17" t="str">
        <f>SP16!D19</f>
        <v>Freilos</v>
      </c>
      <c r="C17" t="str">
        <f>SP16!E19</f>
        <v>Freilos</v>
      </c>
      <c r="D17">
        <f>SP16!F19</f>
        <v>0</v>
      </c>
      <c r="E17">
        <f>SP16!G19</f>
        <v>0</v>
      </c>
      <c r="F17">
        <f>SP16!H19</f>
        <v>0</v>
      </c>
      <c r="G17">
        <f>SP16!I19</f>
        <v>0</v>
      </c>
      <c r="H17">
        <f>SP16!J19</f>
        <v>0</v>
      </c>
      <c r="I17">
        <f>SP16!K19</f>
        <v>0</v>
      </c>
      <c r="J17">
        <f>SP16!L19</f>
        <v>0</v>
      </c>
      <c r="K17">
        <v>0</v>
      </c>
      <c r="L17">
        <v>0</v>
      </c>
    </row>
    <row r="18" spans="1:12" ht="12.75">
      <c r="A18">
        <v>18</v>
      </c>
      <c r="B18" t="str">
        <f>SP16!D20</f>
        <v>Freilos</v>
      </c>
      <c r="C18" t="str">
        <f>SP16!E20</f>
        <v>Freilos</v>
      </c>
      <c r="D18">
        <f>SP16!F20</f>
        <v>0</v>
      </c>
      <c r="E18">
        <f>SP16!G20</f>
        <v>0</v>
      </c>
      <c r="F18">
        <f>SP16!H20</f>
        <v>0</v>
      </c>
      <c r="G18">
        <f>SP16!I20</f>
        <v>0</v>
      </c>
      <c r="H18">
        <f>SP16!J20</f>
        <v>0</v>
      </c>
      <c r="I18">
        <f>SP16!K20</f>
        <v>0</v>
      </c>
      <c r="J18">
        <f>SP16!L20</f>
        <v>0</v>
      </c>
      <c r="K18">
        <v>0</v>
      </c>
      <c r="L18">
        <v>0</v>
      </c>
    </row>
    <row r="19" spans="1:12" ht="12.75">
      <c r="A19">
        <v>19</v>
      </c>
      <c r="B19" t="str">
        <f>SP16!D21</f>
        <v>Freilos</v>
      </c>
      <c r="C19" t="str">
        <f>SP16!E21</f>
        <v>Freilos</v>
      </c>
      <c r="D19">
        <f>SP16!F21</f>
        <v>0</v>
      </c>
      <c r="E19">
        <f>SP16!G21</f>
        <v>0</v>
      </c>
      <c r="F19">
        <f>SP16!H21</f>
        <v>0</v>
      </c>
      <c r="G19">
        <f>SP16!I21</f>
        <v>0</v>
      </c>
      <c r="H19">
        <f>SP16!J21</f>
        <v>0</v>
      </c>
      <c r="I19">
        <f>SP16!K21</f>
        <v>0</v>
      </c>
      <c r="J19">
        <f>SP16!L21</f>
        <v>0</v>
      </c>
      <c r="K19">
        <v>0</v>
      </c>
      <c r="L19">
        <v>0</v>
      </c>
    </row>
    <row r="20" spans="1:12" ht="12.75">
      <c r="A20">
        <v>20</v>
      </c>
      <c r="B20" t="str">
        <f>SP16!D22</f>
        <v>Freilos</v>
      </c>
      <c r="C20" t="str">
        <f>SP16!E22</f>
        <v>Freilos</v>
      </c>
      <c r="D20">
        <f>SP16!F22</f>
        <v>0</v>
      </c>
      <c r="E20">
        <f>SP16!G22</f>
        <v>0</v>
      </c>
      <c r="F20">
        <f>SP16!H22</f>
        <v>0</v>
      </c>
      <c r="G20">
        <f>SP16!I22</f>
        <v>0</v>
      </c>
      <c r="H20">
        <f>SP16!J22</f>
        <v>0</v>
      </c>
      <c r="I20">
        <f>SP16!K22</f>
        <v>0</v>
      </c>
      <c r="J20">
        <f>SP16!L22</f>
        <v>0</v>
      </c>
      <c r="K20">
        <v>0</v>
      </c>
      <c r="L20">
        <v>0</v>
      </c>
    </row>
    <row r="21" spans="1:12" ht="12.75">
      <c r="A21">
        <v>21</v>
      </c>
      <c r="B21" t="str">
        <f>SP16!D23</f>
        <v>Freilos</v>
      </c>
      <c r="C21" t="str">
        <f>SP16!E23</f>
        <v>Sieger 17-20</v>
      </c>
      <c r="D21">
        <f>SP16!F23</f>
        <v>0</v>
      </c>
      <c r="E21">
        <f>SP16!G23</f>
        <v>0</v>
      </c>
      <c r="F21">
        <f>SP16!H23</f>
        <v>0</v>
      </c>
      <c r="G21">
        <f>SP16!I23</f>
        <v>0</v>
      </c>
      <c r="H21">
        <f>SP16!J23</f>
        <v>0</v>
      </c>
      <c r="I21">
        <f>SP16!K23</f>
        <v>0</v>
      </c>
      <c r="J21">
        <f>SP16!L23</f>
        <v>0</v>
      </c>
      <c r="K21">
        <v>0</v>
      </c>
      <c r="L21">
        <v>0</v>
      </c>
    </row>
    <row r="22" spans="1:12" ht="12.75">
      <c r="A22">
        <v>22</v>
      </c>
      <c r="B22" t="str">
        <f>SP16!D24</f>
        <v>Freilos</v>
      </c>
      <c r="C22" t="str">
        <f>SP16!E24</f>
        <v>Sieger 17-20</v>
      </c>
      <c r="D22">
        <f>SP16!F24</f>
        <v>0</v>
      </c>
      <c r="E22">
        <f>SP16!G24</f>
        <v>0</v>
      </c>
      <c r="F22">
        <f>SP16!H24</f>
        <v>0</v>
      </c>
      <c r="G22">
        <f>SP16!I24</f>
        <v>0</v>
      </c>
      <c r="H22">
        <f>SP16!J24</f>
        <v>0</v>
      </c>
      <c r="I22">
        <f>SP16!K24</f>
        <v>0</v>
      </c>
      <c r="J22">
        <f>SP16!L24</f>
        <v>0</v>
      </c>
      <c r="K22">
        <v>0</v>
      </c>
      <c r="L22">
        <v>0</v>
      </c>
    </row>
    <row r="23" spans="1:12" ht="12.75">
      <c r="A23">
        <v>23</v>
      </c>
      <c r="B23" t="str">
        <f>SP16!D25</f>
        <v>Freilos</v>
      </c>
      <c r="C23" t="str">
        <f>SP16!E25</f>
        <v>Sieger 17-20</v>
      </c>
      <c r="D23">
        <f>SP16!F25</f>
        <v>0</v>
      </c>
      <c r="E23">
        <f>SP16!G25</f>
        <v>0</v>
      </c>
      <c r="F23">
        <f>SP16!H25</f>
        <v>0</v>
      </c>
      <c r="G23">
        <f>SP16!I25</f>
        <v>0</v>
      </c>
      <c r="H23">
        <f>SP16!J25</f>
        <v>0</v>
      </c>
      <c r="I23">
        <f>SP16!K25</f>
        <v>0</v>
      </c>
      <c r="J23">
        <f>SP16!L25</f>
        <v>0</v>
      </c>
      <c r="K23">
        <v>0</v>
      </c>
      <c r="L23">
        <v>0</v>
      </c>
    </row>
    <row r="24" spans="1:12" ht="12.75">
      <c r="A24">
        <v>24</v>
      </c>
      <c r="B24" t="str">
        <f>SP16!D26</f>
        <v>Freilos</v>
      </c>
      <c r="C24" t="str">
        <f>SP16!E26</f>
        <v>Sieger 17-20</v>
      </c>
      <c r="D24">
        <f>SP16!F26</f>
        <v>0</v>
      </c>
      <c r="E24">
        <f>SP16!G26</f>
        <v>0</v>
      </c>
      <c r="F24">
        <f>SP16!H26</f>
        <v>0</v>
      </c>
      <c r="G24">
        <f>SP16!I26</f>
        <v>0</v>
      </c>
      <c r="H24">
        <f>SP16!J26</f>
        <v>0</v>
      </c>
      <c r="I24">
        <f>SP16!K26</f>
        <v>0</v>
      </c>
      <c r="J24">
        <f>SP16!L26</f>
        <v>0</v>
      </c>
      <c r="K24">
        <v>0</v>
      </c>
      <c r="L24">
        <v>0</v>
      </c>
    </row>
    <row r="25" spans="1:12" ht="12.75">
      <c r="A25">
        <v>25</v>
      </c>
      <c r="B25" t="str">
        <f>SP16!D27</f>
        <v>Sieger 21</v>
      </c>
      <c r="C25" t="str">
        <f>SP16!E27</f>
        <v>Sieger 22</v>
      </c>
      <c r="D25">
        <f>SP16!F27</f>
        <v>0</v>
      </c>
      <c r="E25">
        <f>SP16!G27</f>
        <v>0</v>
      </c>
      <c r="F25">
        <f>SP16!H27</f>
        <v>0</v>
      </c>
      <c r="G25">
        <f>SP16!I27</f>
        <v>0</v>
      </c>
      <c r="H25">
        <f>SP16!J27</f>
        <v>0</v>
      </c>
      <c r="I25">
        <f>SP16!K27</f>
        <v>0</v>
      </c>
      <c r="J25">
        <f>SP16!L27</f>
        <v>0</v>
      </c>
      <c r="K25">
        <v>0</v>
      </c>
      <c r="L25">
        <v>0</v>
      </c>
    </row>
    <row r="26" spans="1:12" ht="12.75">
      <c r="A26">
        <v>26</v>
      </c>
      <c r="B26" t="str">
        <f>SP16!D28</f>
        <v>Sieger 23</v>
      </c>
      <c r="C26" t="str">
        <f>SP16!E28</f>
        <v>Sieger 24</v>
      </c>
      <c r="D26">
        <f>SP16!F28</f>
        <v>0</v>
      </c>
      <c r="E26">
        <f>SP16!G28</f>
        <v>0</v>
      </c>
      <c r="F26">
        <f>SP16!H28</f>
        <v>0</v>
      </c>
      <c r="G26">
        <f>SP16!I28</f>
        <v>0</v>
      </c>
      <c r="H26">
        <f>SP16!J28</f>
        <v>0</v>
      </c>
      <c r="I26">
        <f>SP16!K28</f>
        <v>0</v>
      </c>
      <c r="J26">
        <f>SP16!L28</f>
        <v>0</v>
      </c>
      <c r="K26">
        <v>0</v>
      </c>
      <c r="L26">
        <v>0</v>
      </c>
    </row>
    <row r="27" spans="1:12" ht="12.75">
      <c r="A27">
        <v>27</v>
      </c>
      <c r="B27" t="str">
        <f>SP16!D29</f>
        <v>Verlierer 25</v>
      </c>
      <c r="C27" t="str">
        <f>SP16!E29</f>
        <v>Verlierer 26</v>
      </c>
      <c r="D27">
        <f>SP16!F29</f>
        <v>0</v>
      </c>
      <c r="E27">
        <f>SP16!G29</f>
        <v>0</v>
      </c>
      <c r="F27">
        <f>SP16!H29</f>
        <v>0</v>
      </c>
      <c r="G27">
        <f>SP16!I29</f>
        <v>0</v>
      </c>
      <c r="H27">
        <f>SP16!J29</f>
        <v>0</v>
      </c>
      <c r="I27">
        <f>SP16!K29</f>
        <v>0</v>
      </c>
      <c r="J27">
        <f>SP16!L29</f>
        <v>0</v>
      </c>
      <c r="K27">
        <v>0</v>
      </c>
      <c r="L27">
        <v>0</v>
      </c>
    </row>
    <row r="28" spans="1:12" ht="12.75">
      <c r="A28">
        <v>28</v>
      </c>
      <c r="B28" t="str">
        <f>SP16!D30</f>
        <v>Sieger 25</v>
      </c>
      <c r="C28" t="str">
        <f>SP16!E30</f>
        <v>Sieger 26</v>
      </c>
      <c r="D28">
        <f>SP16!F30</f>
        <v>0</v>
      </c>
      <c r="E28">
        <f>SP16!G30</f>
        <v>0</v>
      </c>
      <c r="F28">
        <f>SP16!H30</f>
        <v>0</v>
      </c>
      <c r="G28">
        <f>SP16!I30</f>
        <v>0</v>
      </c>
      <c r="H28">
        <f>SP16!J30</f>
        <v>0</v>
      </c>
      <c r="I28">
        <f>SP16!K30</f>
        <v>0</v>
      </c>
      <c r="J28">
        <f>SP16!L30</f>
        <v>0</v>
      </c>
      <c r="K28">
        <v>0</v>
      </c>
      <c r="L28">
        <v>0</v>
      </c>
    </row>
    <row r="29" spans="1:12" ht="12.75">
      <c r="A29">
        <v>29</v>
      </c>
      <c r="B29" s="217">
        <v>1</v>
      </c>
      <c r="C29">
        <f>Tabelle!D7</f>
      </c>
      <c r="D29">
        <f>Tabelle!E7</f>
      </c>
      <c r="E29">
        <f>Tabelle!F7</f>
      </c>
      <c r="F29">
        <f>Tabelle!G7</f>
      </c>
      <c r="G29">
        <f>Tabelle!H7</f>
      </c>
      <c r="H29">
        <f>Tabelle!I7</f>
      </c>
      <c r="I29">
        <f>Tabelle!J7</f>
      </c>
      <c r="J29">
        <f>Tabelle!K7</f>
      </c>
      <c r="K29">
        <f>Tabelle!L7</f>
      </c>
      <c r="L29" s="218">
        <f>Tabelle!M7</f>
      </c>
    </row>
    <row r="30" spans="1:12" ht="12.75">
      <c r="A30">
        <v>30</v>
      </c>
      <c r="B30" s="217">
        <v>2</v>
      </c>
      <c r="C30">
        <f>Tabelle!D8</f>
      </c>
      <c r="D30">
        <f>Tabelle!E8</f>
      </c>
      <c r="E30">
        <f>Tabelle!F8</f>
      </c>
      <c r="F30">
        <f>Tabelle!G8</f>
      </c>
      <c r="G30">
        <f>Tabelle!H8</f>
      </c>
      <c r="H30">
        <f>Tabelle!I8</f>
      </c>
      <c r="I30">
        <f>Tabelle!J8</f>
      </c>
      <c r="J30">
        <f>Tabelle!K8</f>
      </c>
      <c r="K30">
        <f>Tabelle!L8</f>
      </c>
      <c r="L30" s="218">
        <f>Tabelle!M8</f>
      </c>
    </row>
    <row r="31" spans="1:12" ht="12.75">
      <c r="A31">
        <v>31</v>
      </c>
      <c r="B31" s="217">
        <v>3</v>
      </c>
      <c r="C31">
        <f>Tabelle!D9</f>
      </c>
      <c r="D31">
        <f>Tabelle!E9</f>
      </c>
      <c r="E31">
        <f>Tabelle!F9</f>
      </c>
      <c r="F31">
        <f>Tabelle!G9</f>
      </c>
      <c r="G31">
        <f>Tabelle!H9</f>
      </c>
      <c r="H31">
        <f>Tabelle!I9</f>
      </c>
      <c r="I31">
        <f>Tabelle!J9</f>
      </c>
      <c r="J31">
        <f>Tabelle!K9</f>
      </c>
      <c r="K31">
        <f>Tabelle!L9</f>
      </c>
      <c r="L31" s="218">
        <f>Tabelle!M9</f>
      </c>
    </row>
    <row r="32" spans="1:12" ht="12.75">
      <c r="A32">
        <v>32</v>
      </c>
      <c r="B32" s="217">
        <v>4</v>
      </c>
      <c r="C32">
        <f>Tabelle!D10</f>
      </c>
      <c r="D32">
        <f>Tabelle!E10</f>
      </c>
      <c r="E32">
        <f>Tabelle!F10</f>
      </c>
      <c r="F32">
        <f>Tabelle!G10</f>
      </c>
      <c r="G32">
        <f>Tabelle!H10</f>
      </c>
      <c r="H32">
        <f>Tabelle!I10</f>
      </c>
      <c r="I32">
        <f>Tabelle!J10</f>
      </c>
      <c r="J32">
        <f>Tabelle!K10</f>
      </c>
      <c r="K32">
        <f>Tabelle!L10</f>
      </c>
      <c r="L32" s="218">
        <f>Tabelle!M10</f>
      </c>
    </row>
    <row r="33" spans="1:12" ht="12.75">
      <c r="A33">
        <v>33</v>
      </c>
      <c r="B33" s="217">
        <v>5</v>
      </c>
      <c r="C33">
        <f>Tabelle!D11</f>
      </c>
      <c r="D33">
        <f>Tabelle!E11</f>
      </c>
      <c r="E33">
        <f>Tabelle!F11</f>
      </c>
      <c r="F33">
        <f>Tabelle!G11</f>
      </c>
      <c r="G33">
        <f>Tabelle!H11</f>
      </c>
      <c r="H33">
        <f>Tabelle!I11</f>
      </c>
      <c r="I33">
        <f>Tabelle!J11</f>
      </c>
      <c r="J33">
        <f>Tabelle!K11</f>
      </c>
      <c r="K33">
        <f>Tabelle!L11</f>
      </c>
      <c r="L33" s="218">
        <f>Tabelle!M11</f>
      </c>
    </row>
    <row r="34" spans="1:12" ht="12.75">
      <c r="A34">
        <v>34</v>
      </c>
      <c r="B34" s="217">
        <v>6</v>
      </c>
      <c r="C34">
        <f>Tabelle!D12</f>
      </c>
      <c r="D34">
        <f>Tabelle!E12</f>
      </c>
      <c r="E34">
        <f>Tabelle!F12</f>
      </c>
      <c r="F34">
        <f>Tabelle!G12</f>
      </c>
      <c r="G34">
        <f>Tabelle!H12</f>
      </c>
      <c r="H34">
        <f>Tabelle!I12</f>
      </c>
      <c r="I34">
        <f>Tabelle!J12</f>
      </c>
      <c r="J34">
        <f>Tabelle!K12</f>
      </c>
      <c r="K34">
        <f>Tabelle!L12</f>
      </c>
      <c r="L34" s="218">
        <f>Tabelle!M12</f>
      </c>
    </row>
    <row r="35" spans="1:12" ht="12.75">
      <c r="A35">
        <v>35</v>
      </c>
      <c r="B35" s="217">
        <v>7</v>
      </c>
      <c r="C35">
        <f>Tabelle!D13</f>
      </c>
      <c r="D35">
        <f>Tabelle!E13</f>
      </c>
      <c r="E35">
        <f>Tabelle!F13</f>
      </c>
      <c r="F35">
        <f>Tabelle!G13</f>
      </c>
      <c r="G35">
        <f>Tabelle!H13</f>
      </c>
      <c r="H35">
        <f>Tabelle!I13</f>
      </c>
      <c r="I35">
        <f>Tabelle!J13</f>
      </c>
      <c r="J35">
        <f>Tabelle!K13</f>
      </c>
      <c r="K35">
        <f>Tabelle!L13</f>
      </c>
      <c r="L35" s="218">
        <f>Tabelle!M13</f>
      </c>
    </row>
    <row r="36" spans="1:12" ht="12.75">
      <c r="A36">
        <v>36</v>
      </c>
      <c r="B36" s="217">
        <v>8</v>
      </c>
      <c r="C36">
        <f>Tabelle!D14</f>
      </c>
      <c r="D36">
        <f>Tabelle!E14</f>
      </c>
      <c r="E36">
        <f>Tabelle!F14</f>
      </c>
      <c r="F36">
        <f>Tabelle!G14</f>
      </c>
      <c r="G36">
        <f>Tabelle!H14</f>
      </c>
      <c r="H36">
        <f>Tabelle!I14</f>
      </c>
      <c r="I36">
        <f>Tabelle!J14</f>
      </c>
      <c r="J36">
        <f>Tabelle!K14</f>
      </c>
      <c r="K36">
        <f>Tabelle!L14</f>
      </c>
      <c r="L36" s="218">
        <f>Tabelle!M14</f>
      </c>
    </row>
    <row r="37" spans="1:12" ht="12.75">
      <c r="A37">
        <v>37</v>
      </c>
      <c r="B37" s="217">
        <v>9</v>
      </c>
      <c r="C37">
        <f>Tabelle!D15</f>
      </c>
      <c r="D37">
        <f>Tabelle!E15</f>
      </c>
      <c r="E37">
        <f>Tabelle!F15</f>
      </c>
      <c r="F37">
        <f>Tabelle!G15</f>
      </c>
      <c r="G37">
        <f>Tabelle!H15</f>
      </c>
      <c r="H37">
        <f>Tabelle!I15</f>
      </c>
      <c r="I37">
        <f>Tabelle!J15</f>
      </c>
      <c r="J37">
        <f>Tabelle!K15</f>
      </c>
      <c r="K37">
        <f>Tabelle!L15</f>
      </c>
      <c r="L37" s="218">
        <f>Tabelle!M15</f>
      </c>
    </row>
    <row r="38" spans="1:12" ht="12.75">
      <c r="A38">
        <v>38</v>
      </c>
      <c r="B38" s="217">
        <v>10</v>
      </c>
      <c r="C38">
        <f>Tabelle!D16</f>
      </c>
      <c r="D38">
        <f>Tabelle!E16</f>
      </c>
      <c r="E38">
        <f>Tabelle!F16</f>
      </c>
      <c r="F38">
        <f>Tabelle!G16</f>
      </c>
      <c r="G38">
        <f>Tabelle!H16</f>
      </c>
      <c r="H38">
        <f>Tabelle!I16</f>
      </c>
      <c r="I38">
        <f>Tabelle!J16</f>
      </c>
      <c r="J38">
        <f>Tabelle!K16</f>
      </c>
      <c r="K38">
        <f>Tabelle!L16</f>
      </c>
      <c r="L38" s="218">
        <f>Tabelle!M16</f>
      </c>
    </row>
    <row r="39" spans="1:12" ht="12.75">
      <c r="A39">
        <v>39</v>
      </c>
      <c r="B39" s="217">
        <v>11</v>
      </c>
      <c r="C39">
        <f>Tabelle!D17</f>
      </c>
      <c r="D39">
        <f>Tabelle!E17</f>
      </c>
      <c r="E39">
        <f>Tabelle!F17</f>
      </c>
      <c r="F39">
        <f>Tabelle!G17</f>
      </c>
      <c r="G39">
        <f>Tabelle!H17</f>
      </c>
      <c r="H39">
        <f>Tabelle!I17</f>
      </c>
      <c r="I39">
        <f>Tabelle!J17</f>
      </c>
      <c r="J39">
        <f>Tabelle!K17</f>
      </c>
      <c r="K39">
        <f>Tabelle!L17</f>
      </c>
      <c r="L39" s="218">
        <f>Tabelle!M17</f>
      </c>
    </row>
    <row r="40" spans="1:12" ht="12.75">
      <c r="A40">
        <v>40</v>
      </c>
      <c r="B40" s="217">
        <v>12</v>
      </c>
      <c r="C40">
        <f>Tabelle!D18</f>
      </c>
      <c r="D40">
        <f>Tabelle!E18</f>
      </c>
      <c r="E40">
        <f>Tabelle!F18</f>
      </c>
      <c r="F40">
        <f>Tabelle!G18</f>
      </c>
      <c r="G40">
        <f>Tabelle!H18</f>
      </c>
      <c r="H40">
        <f>Tabelle!I18</f>
      </c>
      <c r="I40">
        <f>Tabelle!J18</f>
      </c>
      <c r="J40">
        <f>Tabelle!K18</f>
      </c>
      <c r="K40">
        <f>Tabelle!L18</f>
      </c>
      <c r="L40" s="218">
        <f>Tabelle!M18</f>
      </c>
    </row>
    <row r="41" spans="1:12" ht="12.75">
      <c r="A41">
        <v>41</v>
      </c>
      <c r="B41" s="217">
        <v>13</v>
      </c>
      <c r="C41">
        <f>Tabelle!D19</f>
      </c>
      <c r="D41">
        <f>Tabelle!E19</f>
      </c>
      <c r="E41">
        <f>Tabelle!F19</f>
      </c>
      <c r="F41">
        <f>Tabelle!G19</f>
      </c>
      <c r="G41">
        <f>Tabelle!H19</f>
      </c>
      <c r="H41">
        <f>Tabelle!I19</f>
      </c>
      <c r="I41">
        <f>Tabelle!J19</f>
      </c>
      <c r="J41">
        <f>Tabelle!K19</f>
      </c>
      <c r="K41">
        <f>Tabelle!L19</f>
      </c>
      <c r="L41" s="218">
        <f>Tabelle!M19</f>
      </c>
    </row>
    <row r="42" spans="1:12" ht="12.75">
      <c r="A42">
        <v>42</v>
      </c>
      <c r="B42" s="217"/>
      <c r="L42" s="218"/>
    </row>
    <row r="43" spans="1:12" ht="12.75">
      <c r="A43">
        <v>43</v>
      </c>
      <c r="B43" s="217"/>
      <c r="L43" s="218"/>
    </row>
    <row r="44" spans="1:12" ht="12.75">
      <c r="A44">
        <v>44</v>
      </c>
      <c r="B44" s="217"/>
      <c r="L44" s="218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O70"/>
  <sheetViews>
    <sheetView showGridLines="0" zoomScalePageLayoutView="0" workbookViewId="0" topLeftCell="B5">
      <selection activeCell="E7" sqref="E7"/>
    </sheetView>
  </sheetViews>
  <sheetFormatPr defaultColWidth="11.421875" defaultRowHeight="12.75"/>
  <cols>
    <col min="1" max="1" width="8.140625" style="2" hidden="1" customWidth="1"/>
    <col min="2" max="2" width="3.28125" style="2" customWidth="1"/>
    <col min="3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9.57421875" style="2" customWidth="1"/>
    <col min="8" max="8" width="6.8515625" style="2" customWidth="1"/>
    <col min="9" max="9" width="3.7109375" style="2" bestFit="1" customWidth="1"/>
    <col min="10" max="10" width="3.57421875" style="2" bestFit="1" customWidth="1"/>
    <col min="11" max="11" width="6.28125" style="2" bestFit="1" customWidth="1"/>
    <col min="12" max="12" width="6.28125" style="2" customWidth="1"/>
    <col min="13" max="13" width="7.8515625" style="5" customWidth="1"/>
    <col min="14" max="14" width="8.7109375" style="2" bestFit="1" customWidth="1"/>
    <col min="15" max="15" width="5.140625" style="2" customWidth="1"/>
    <col min="16" max="16384" width="11.421875" style="2" customWidth="1"/>
  </cols>
  <sheetData>
    <row r="1" ht="12.75" hidden="1"/>
    <row r="2" ht="12.75" hidden="1">
      <c r="D2" s="7"/>
    </row>
    <row r="3" ht="12.75" hidden="1">
      <c r="D3" s="7"/>
    </row>
    <row r="4" ht="12.75" hidden="1"/>
    <row r="5" ht="16.5" thickBot="1">
      <c r="D5" s="190">
        <f>IF(Auslosung_Turnierdaten!G26="","",Auslosung_Turnierdaten!G26)&amp;IF(Auslosung_Turnierdaten!G27="",""," - "&amp;Auslosung_Turnierdaten!G27)</f>
      </c>
    </row>
    <row r="6" spans="3:15" ht="13.5" thickBot="1">
      <c r="C6" s="19" t="s">
        <v>7</v>
      </c>
      <c r="D6" s="20" t="s">
        <v>3</v>
      </c>
      <c r="E6" s="21" t="s">
        <v>4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tr">
        <f>SP16!AF19</f>
        <v>GSp</v>
      </c>
      <c r="L6" s="22" t="str">
        <f>SP16!AG19</f>
        <v>VSp</v>
      </c>
      <c r="M6" s="22" t="str">
        <f>SP16!AH19</f>
        <v>Quot</v>
      </c>
      <c r="N6" s="23">
        <f>SP16!AI19</f>
      </c>
      <c r="O6" s="24">
        <f>SP16!AJ19</f>
      </c>
    </row>
    <row r="7" spans="3:15" ht="12.75">
      <c r="C7" s="187">
        <v>1</v>
      </c>
      <c r="D7" s="8" t="s">
        <v>186</v>
      </c>
      <c r="E7" s="9" t="s">
        <v>186</v>
      </c>
      <c r="F7" s="9" t="s">
        <v>186</v>
      </c>
      <c r="G7" s="9" t="s">
        <v>186</v>
      </c>
      <c r="H7" s="25" t="s">
        <v>186</v>
      </c>
      <c r="I7" s="25" t="s">
        <v>186</v>
      </c>
      <c r="J7" s="25" t="s">
        <v>186</v>
      </c>
      <c r="K7" s="25" t="s">
        <v>186</v>
      </c>
      <c r="L7" s="25" t="s">
        <v>186</v>
      </c>
      <c r="M7" s="10" t="s">
        <v>186</v>
      </c>
      <c r="N7" s="10" t="s">
        <v>186</v>
      </c>
      <c r="O7" s="28" t="s">
        <v>186</v>
      </c>
    </row>
    <row r="8" spans="3:15" ht="12.75">
      <c r="C8" s="188">
        <v>2</v>
      </c>
      <c r="D8" s="11" t="s">
        <v>186</v>
      </c>
      <c r="E8" s="12" t="s">
        <v>186</v>
      </c>
      <c r="F8" s="12" t="s">
        <v>186</v>
      </c>
      <c r="G8" s="12" t="s">
        <v>186</v>
      </c>
      <c r="H8" s="26" t="s">
        <v>186</v>
      </c>
      <c r="I8" s="26" t="s">
        <v>186</v>
      </c>
      <c r="J8" s="26" t="s">
        <v>186</v>
      </c>
      <c r="K8" s="26" t="s">
        <v>186</v>
      </c>
      <c r="L8" s="26" t="s">
        <v>186</v>
      </c>
      <c r="M8" s="13" t="s">
        <v>186</v>
      </c>
      <c r="N8" s="13" t="s">
        <v>186</v>
      </c>
      <c r="O8" s="29" t="s">
        <v>186</v>
      </c>
    </row>
    <row r="9" spans="3:15" ht="12.75">
      <c r="C9" s="188">
        <v>3</v>
      </c>
      <c r="D9" s="11" t="s">
        <v>186</v>
      </c>
      <c r="E9" s="12" t="s">
        <v>186</v>
      </c>
      <c r="F9" s="12" t="s">
        <v>186</v>
      </c>
      <c r="G9" s="12" t="s">
        <v>186</v>
      </c>
      <c r="H9" s="26" t="s">
        <v>186</v>
      </c>
      <c r="I9" s="26" t="s">
        <v>186</v>
      </c>
      <c r="J9" s="26" t="s">
        <v>186</v>
      </c>
      <c r="K9" s="26" t="s">
        <v>186</v>
      </c>
      <c r="L9" s="26" t="s">
        <v>186</v>
      </c>
      <c r="M9" s="13" t="s">
        <v>186</v>
      </c>
      <c r="N9" s="13" t="s">
        <v>186</v>
      </c>
      <c r="O9" s="29" t="s">
        <v>186</v>
      </c>
    </row>
    <row r="10" spans="3:15" ht="12.75">
      <c r="C10" s="188">
        <v>4</v>
      </c>
      <c r="D10" s="11" t="s">
        <v>186</v>
      </c>
      <c r="E10" s="12" t="s">
        <v>186</v>
      </c>
      <c r="F10" s="12" t="s">
        <v>186</v>
      </c>
      <c r="G10" s="12" t="s">
        <v>186</v>
      </c>
      <c r="H10" s="26" t="s">
        <v>186</v>
      </c>
      <c r="I10" s="26" t="s">
        <v>186</v>
      </c>
      <c r="J10" s="26" t="s">
        <v>186</v>
      </c>
      <c r="K10" s="26" t="s">
        <v>186</v>
      </c>
      <c r="L10" s="26" t="s">
        <v>186</v>
      </c>
      <c r="M10" s="13" t="s">
        <v>186</v>
      </c>
      <c r="N10" s="13" t="s">
        <v>186</v>
      </c>
      <c r="O10" s="29" t="s">
        <v>186</v>
      </c>
    </row>
    <row r="11" spans="3:15" ht="12.75">
      <c r="C11" s="188">
        <v>5</v>
      </c>
      <c r="D11" s="11" t="s">
        <v>186</v>
      </c>
      <c r="E11" s="12" t="s">
        <v>186</v>
      </c>
      <c r="F11" s="12" t="s">
        <v>186</v>
      </c>
      <c r="G11" s="12" t="s">
        <v>186</v>
      </c>
      <c r="H11" s="26" t="s">
        <v>186</v>
      </c>
      <c r="I11" s="26" t="s">
        <v>186</v>
      </c>
      <c r="J11" s="26" t="s">
        <v>186</v>
      </c>
      <c r="K11" s="26" t="s">
        <v>186</v>
      </c>
      <c r="L11" s="26" t="s">
        <v>186</v>
      </c>
      <c r="M11" s="13" t="s">
        <v>186</v>
      </c>
      <c r="N11" s="13" t="s">
        <v>186</v>
      </c>
      <c r="O11" s="29" t="s">
        <v>186</v>
      </c>
    </row>
    <row r="12" spans="3:15" ht="12.75">
      <c r="C12" s="188">
        <v>6</v>
      </c>
      <c r="D12" s="11" t="s">
        <v>186</v>
      </c>
      <c r="E12" s="12" t="s">
        <v>186</v>
      </c>
      <c r="F12" s="12" t="s">
        <v>186</v>
      </c>
      <c r="G12" s="12" t="s">
        <v>186</v>
      </c>
      <c r="H12" s="26" t="s">
        <v>186</v>
      </c>
      <c r="I12" s="26" t="s">
        <v>186</v>
      </c>
      <c r="J12" s="26" t="s">
        <v>186</v>
      </c>
      <c r="K12" s="26" t="s">
        <v>186</v>
      </c>
      <c r="L12" s="26" t="s">
        <v>186</v>
      </c>
      <c r="M12" s="13" t="s">
        <v>186</v>
      </c>
      <c r="N12" s="13" t="s">
        <v>186</v>
      </c>
      <c r="O12" s="29" t="s">
        <v>186</v>
      </c>
    </row>
    <row r="13" spans="3:15" ht="12.75">
      <c r="C13" s="188">
        <v>7</v>
      </c>
      <c r="D13" s="11" t="s">
        <v>186</v>
      </c>
      <c r="E13" s="12" t="s">
        <v>186</v>
      </c>
      <c r="F13" s="12" t="s">
        <v>186</v>
      </c>
      <c r="G13" s="12" t="s">
        <v>186</v>
      </c>
      <c r="H13" s="26" t="s">
        <v>186</v>
      </c>
      <c r="I13" s="26" t="s">
        <v>186</v>
      </c>
      <c r="J13" s="26" t="s">
        <v>186</v>
      </c>
      <c r="K13" s="26" t="s">
        <v>186</v>
      </c>
      <c r="L13" s="26" t="s">
        <v>186</v>
      </c>
      <c r="M13" s="13" t="s">
        <v>186</v>
      </c>
      <c r="N13" s="13" t="s">
        <v>186</v>
      </c>
      <c r="O13" s="29" t="s">
        <v>186</v>
      </c>
    </row>
    <row r="14" spans="3:15" ht="12.75">
      <c r="C14" s="188">
        <v>8</v>
      </c>
      <c r="D14" s="11" t="s">
        <v>186</v>
      </c>
      <c r="E14" s="12" t="s">
        <v>186</v>
      </c>
      <c r="F14" s="12" t="s">
        <v>186</v>
      </c>
      <c r="G14" s="12" t="s">
        <v>186</v>
      </c>
      <c r="H14" s="26" t="s">
        <v>186</v>
      </c>
      <c r="I14" s="26" t="s">
        <v>186</v>
      </c>
      <c r="J14" s="26" t="s">
        <v>186</v>
      </c>
      <c r="K14" s="26" t="s">
        <v>186</v>
      </c>
      <c r="L14" s="26" t="s">
        <v>186</v>
      </c>
      <c r="M14" s="13" t="s">
        <v>186</v>
      </c>
      <c r="N14" s="13" t="s">
        <v>186</v>
      </c>
      <c r="O14" s="29" t="s">
        <v>186</v>
      </c>
    </row>
    <row r="15" spans="3:15" ht="12.75">
      <c r="C15" s="188">
        <v>9</v>
      </c>
      <c r="D15" s="11" t="s">
        <v>186</v>
      </c>
      <c r="E15" s="12" t="s">
        <v>186</v>
      </c>
      <c r="F15" s="12" t="s">
        <v>186</v>
      </c>
      <c r="G15" s="12" t="s">
        <v>186</v>
      </c>
      <c r="H15" s="26" t="s">
        <v>186</v>
      </c>
      <c r="I15" s="26" t="s">
        <v>186</v>
      </c>
      <c r="J15" s="26" t="s">
        <v>186</v>
      </c>
      <c r="K15" s="26" t="s">
        <v>186</v>
      </c>
      <c r="L15" s="26" t="s">
        <v>186</v>
      </c>
      <c r="M15" s="13" t="s">
        <v>186</v>
      </c>
      <c r="N15" s="13" t="s">
        <v>186</v>
      </c>
      <c r="O15" s="29" t="s">
        <v>186</v>
      </c>
    </row>
    <row r="16" spans="3:15" ht="12.75">
      <c r="C16" s="188">
        <v>10</v>
      </c>
      <c r="D16" s="11" t="s">
        <v>186</v>
      </c>
      <c r="E16" s="12" t="s">
        <v>186</v>
      </c>
      <c r="F16" s="12" t="s">
        <v>186</v>
      </c>
      <c r="G16" s="12" t="s">
        <v>186</v>
      </c>
      <c r="H16" s="26" t="s">
        <v>186</v>
      </c>
      <c r="I16" s="26" t="s">
        <v>186</v>
      </c>
      <c r="J16" s="26" t="s">
        <v>186</v>
      </c>
      <c r="K16" s="26" t="s">
        <v>186</v>
      </c>
      <c r="L16" s="26" t="s">
        <v>186</v>
      </c>
      <c r="M16" s="13" t="s">
        <v>186</v>
      </c>
      <c r="N16" s="13" t="s">
        <v>186</v>
      </c>
      <c r="O16" s="29" t="s">
        <v>186</v>
      </c>
    </row>
    <row r="17" spans="3:15" ht="12.75">
      <c r="C17" s="188">
        <v>11</v>
      </c>
      <c r="D17" s="11" t="s">
        <v>186</v>
      </c>
      <c r="E17" s="12" t="s">
        <v>186</v>
      </c>
      <c r="F17" s="12" t="s">
        <v>186</v>
      </c>
      <c r="G17" s="12" t="s">
        <v>186</v>
      </c>
      <c r="H17" s="26" t="s">
        <v>186</v>
      </c>
      <c r="I17" s="26" t="s">
        <v>186</v>
      </c>
      <c r="J17" s="26" t="s">
        <v>186</v>
      </c>
      <c r="K17" s="26" t="s">
        <v>186</v>
      </c>
      <c r="L17" s="26" t="s">
        <v>186</v>
      </c>
      <c r="M17" s="13" t="s">
        <v>186</v>
      </c>
      <c r="N17" s="13" t="s">
        <v>186</v>
      </c>
      <c r="O17" s="29" t="s">
        <v>186</v>
      </c>
    </row>
    <row r="18" spans="3:15" ht="12.75">
      <c r="C18" s="188">
        <v>12</v>
      </c>
      <c r="D18" s="11" t="s">
        <v>186</v>
      </c>
      <c r="E18" s="12" t="s">
        <v>186</v>
      </c>
      <c r="F18" s="12" t="s">
        <v>186</v>
      </c>
      <c r="G18" s="12" t="s">
        <v>186</v>
      </c>
      <c r="H18" s="26" t="s">
        <v>186</v>
      </c>
      <c r="I18" s="26" t="s">
        <v>186</v>
      </c>
      <c r="J18" s="26" t="s">
        <v>186</v>
      </c>
      <c r="K18" s="26" t="s">
        <v>186</v>
      </c>
      <c r="L18" s="26" t="s">
        <v>186</v>
      </c>
      <c r="M18" s="13" t="s">
        <v>186</v>
      </c>
      <c r="N18" s="13" t="s">
        <v>186</v>
      </c>
      <c r="O18" s="29" t="s">
        <v>186</v>
      </c>
    </row>
    <row r="19" spans="3:15" ht="12.75">
      <c r="C19" s="188">
        <v>13</v>
      </c>
      <c r="D19" s="11" t="s">
        <v>186</v>
      </c>
      <c r="E19" s="12" t="s">
        <v>186</v>
      </c>
      <c r="F19" s="12" t="s">
        <v>186</v>
      </c>
      <c r="G19" s="12" t="s">
        <v>186</v>
      </c>
      <c r="H19" s="26" t="s">
        <v>186</v>
      </c>
      <c r="I19" s="26" t="s">
        <v>186</v>
      </c>
      <c r="J19" s="26" t="s">
        <v>186</v>
      </c>
      <c r="K19" s="26" t="s">
        <v>186</v>
      </c>
      <c r="L19" s="26" t="s">
        <v>186</v>
      </c>
      <c r="M19" s="13" t="s">
        <v>186</v>
      </c>
      <c r="N19" s="13" t="s">
        <v>186</v>
      </c>
      <c r="O19" s="29" t="s">
        <v>186</v>
      </c>
    </row>
    <row r="20" spans="3:15" ht="12.75">
      <c r="C20" s="188">
        <v>14</v>
      </c>
      <c r="D20" s="11" t="s">
        <v>186</v>
      </c>
      <c r="E20" s="12" t="s">
        <v>186</v>
      </c>
      <c r="F20" s="12" t="s">
        <v>186</v>
      </c>
      <c r="G20" s="12" t="s">
        <v>186</v>
      </c>
      <c r="H20" s="26" t="s">
        <v>186</v>
      </c>
      <c r="I20" s="26" t="s">
        <v>186</v>
      </c>
      <c r="J20" s="26" t="s">
        <v>186</v>
      </c>
      <c r="K20" s="26" t="s">
        <v>186</v>
      </c>
      <c r="L20" s="26" t="s">
        <v>186</v>
      </c>
      <c r="M20" s="13" t="s">
        <v>186</v>
      </c>
      <c r="N20" s="13" t="s">
        <v>186</v>
      </c>
      <c r="O20" s="29" t="s">
        <v>186</v>
      </c>
    </row>
    <row r="21" spans="3:15" ht="12.75">
      <c r="C21" s="188">
        <v>15</v>
      </c>
      <c r="D21" s="11" t="s">
        <v>186</v>
      </c>
      <c r="E21" s="12" t="s">
        <v>186</v>
      </c>
      <c r="F21" s="12" t="s">
        <v>186</v>
      </c>
      <c r="G21" s="12" t="s">
        <v>186</v>
      </c>
      <c r="H21" s="26" t="s">
        <v>186</v>
      </c>
      <c r="I21" s="26" t="s">
        <v>186</v>
      </c>
      <c r="J21" s="26" t="s">
        <v>186</v>
      </c>
      <c r="K21" s="26" t="s">
        <v>186</v>
      </c>
      <c r="L21" s="26" t="s">
        <v>186</v>
      </c>
      <c r="M21" s="13" t="s">
        <v>186</v>
      </c>
      <c r="N21" s="13" t="s">
        <v>186</v>
      </c>
      <c r="O21" s="29" t="s">
        <v>186</v>
      </c>
    </row>
    <row r="22" spans="3:15" ht="13.5" thickBot="1">
      <c r="C22" s="189">
        <v>16</v>
      </c>
      <c r="D22" s="14" t="s">
        <v>186</v>
      </c>
      <c r="E22" s="15" t="s">
        <v>186</v>
      </c>
      <c r="F22" s="15" t="s">
        <v>186</v>
      </c>
      <c r="G22" s="15" t="s">
        <v>186</v>
      </c>
      <c r="H22" s="27" t="s">
        <v>186</v>
      </c>
      <c r="I22" s="27" t="s">
        <v>186</v>
      </c>
      <c r="J22" s="27" t="s">
        <v>186</v>
      </c>
      <c r="K22" s="27" t="s">
        <v>186</v>
      </c>
      <c r="L22" s="27" t="s">
        <v>186</v>
      </c>
      <c r="M22" s="16" t="s">
        <v>186</v>
      </c>
      <c r="N22" s="16" t="s">
        <v>186</v>
      </c>
      <c r="O22" s="30" t="s">
        <v>186</v>
      </c>
    </row>
    <row r="23" spans="3:15" ht="15.75">
      <c r="C23" s="17"/>
      <c r="D23" s="190" t="s">
        <v>52</v>
      </c>
      <c r="E23" s="190">
        <f>IF(Auslosung_Turnierdaten!G30="","",Auslosung_Turnierdaten!G30)</f>
      </c>
      <c r="F23" s="17"/>
      <c r="G23" s="17"/>
      <c r="H23" s="17"/>
      <c r="I23" s="17"/>
      <c r="J23" s="17"/>
      <c r="K23" s="17"/>
      <c r="L23" s="17"/>
      <c r="M23" s="18"/>
      <c r="N23" s="17"/>
      <c r="O23" s="17"/>
    </row>
    <row r="24" spans="4:5" ht="15.75">
      <c r="D24" s="190" t="s">
        <v>50</v>
      </c>
      <c r="E24" s="191">
        <f>IF(Auslosung_Turnierdaten!G28="","",Auslosung_Turnierdaten!G28)</f>
      </c>
    </row>
    <row r="25" spans="4:5" ht="12.75">
      <c r="D25" s="17"/>
      <c r="E25" s="17"/>
    </row>
    <row r="26" spans="4:5" ht="12.75">
      <c r="D26" s="17"/>
      <c r="E26" s="17"/>
    </row>
    <row r="27" spans="4:5" ht="12.75">
      <c r="D27" s="17"/>
      <c r="E27" s="17"/>
    </row>
    <row r="28" spans="4:5" ht="12.75">
      <c r="D28" s="17"/>
      <c r="E28" s="17"/>
    </row>
    <row r="29" spans="2:5" ht="12.75">
      <c r="B29" s="2">
        <f>IF(Auslosung_Turnierdaten!F32="","",23)</f>
      </c>
      <c r="D29" s="17"/>
      <c r="E29" s="17"/>
    </row>
    <row r="30" spans="2:5" ht="12.75">
      <c r="B30" s="2">
        <f>IF(Auslosung_Turnierdaten!F33="","",24)</f>
      </c>
      <c r="D30" s="17"/>
      <c r="E30" s="17"/>
    </row>
    <row r="31" spans="2:5" ht="12.75">
      <c r="B31" s="2">
        <f>IF(Auslosung_Turnierdaten!F34="","",25)</f>
      </c>
      <c r="D31" s="17"/>
      <c r="E31" s="17"/>
    </row>
    <row r="32" spans="2:5" ht="12.75">
      <c r="B32" s="2">
        <f>IF(Auslosung_Turnierdaten!F35="","",26)</f>
      </c>
      <c r="D32" s="17"/>
      <c r="E32" s="17"/>
    </row>
    <row r="33" ht="12.75">
      <c r="B33" s="2">
        <f>IF(Auslosung_Turnierdaten!F36="","",27)</f>
      </c>
    </row>
    <row r="34" ht="12.75">
      <c r="B34" s="2">
        <f>IF(Auslosung_Turnierdaten!F37="","",28)</f>
      </c>
    </row>
    <row r="35" ht="12.75">
      <c r="B35" s="2">
        <f>IF(Auslosung_Turnierdaten!F38="","",29)</f>
      </c>
    </row>
    <row r="36" ht="12.75">
      <c r="B36" s="2">
        <f>IF(Auslosung_Turnierdaten!F39="","",30)</f>
      </c>
    </row>
    <row r="37" ht="12.75">
      <c r="B37" s="2">
        <f>IF(Auslosung_Turnierdaten!F40="","",31)</f>
      </c>
    </row>
    <row r="38" ht="12.75">
      <c r="B38" s="2">
        <f>IF(Auslosung_Turnierdaten!F41="","",32)</f>
      </c>
    </row>
    <row r="39" ht="12.75">
      <c r="B39" s="2">
        <f>IF(Auslosung_Turnierdaten!F42="","",33)</f>
      </c>
    </row>
    <row r="40" ht="12.75">
      <c r="B40" s="2">
        <f>IF(Auslosung_Turnierdaten!F43="","",34)</f>
      </c>
    </row>
    <row r="41" ht="12.75">
      <c r="B41" s="2">
        <f>IF(Auslosung_Turnierdaten!F44="","",35)</f>
      </c>
    </row>
    <row r="42" ht="12.75">
      <c r="B42" s="2">
        <f>IF(Auslosung_Turnierdaten!F45="","",36)</f>
      </c>
    </row>
    <row r="43" ht="12.75">
      <c r="B43" s="2">
        <f>IF(Auslosung_Turnierdaten!F46="","",37)</f>
      </c>
    </row>
    <row r="44" ht="12.75">
      <c r="B44" s="2">
        <f>IF(Auslosung_Turnierdaten!F47="","",38)</f>
      </c>
    </row>
    <row r="45" ht="12.75">
      <c r="B45" s="2">
        <f>IF(Auslosung_Turnierdaten!F48="","",39)</f>
      </c>
    </row>
    <row r="46" ht="12.75">
      <c r="B46" s="2">
        <f>IF(Auslosung_Turnierdaten!F49="","",40)</f>
      </c>
    </row>
    <row r="47" ht="12.75">
      <c r="B47" s="2">
        <f>IF(Auslosung_Turnierdaten!F50="","",41)</f>
      </c>
    </row>
    <row r="48" ht="12.75">
      <c r="B48" s="2">
        <f>IF(Auslosung_Turnierdaten!F51="","",42)</f>
      </c>
    </row>
    <row r="49" ht="12.75">
      <c r="B49" s="2">
        <f>IF(Auslosung_Turnierdaten!F52="","",43)</f>
      </c>
    </row>
    <row r="50" ht="12.75">
      <c r="B50" s="2">
        <f>IF(Auslosung_Turnierdaten!F53="","",44)</f>
      </c>
    </row>
    <row r="51" ht="12.75">
      <c r="B51" s="2">
        <f>IF(Auslosung_Turnierdaten!F54="","",45)</f>
      </c>
    </row>
    <row r="52" ht="12.75">
      <c r="B52" s="2">
        <f>IF(Auslosung_Turnierdaten!F55="","",46)</f>
      </c>
    </row>
    <row r="53" ht="12.75">
      <c r="B53" s="2">
        <f>IF(Auslosung_Turnierdaten!F56="","",47)</f>
      </c>
    </row>
    <row r="54" ht="12.75">
      <c r="B54" s="2">
        <f>IF(Auslosung_Turnierdaten!F57="","",48)</f>
      </c>
    </row>
    <row r="55" ht="12.75">
      <c r="B55" s="2">
        <f>IF(Auslosung_Turnierdaten!F58="","",49)</f>
      </c>
    </row>
    <row r="56" ht="12.75">
      <c r="B56" s="2">
        <f>IF(Auslosung_Turnierdaten!F59="","",50)</f>
      </c>
    </row>
    <row r="57" ht="12.75">
      <c r="B57" s="2">
        <f>IF(Auslosung_Turnierdaten!F60="","",51)</f>
      </c>
    </row>
    <row r="58" ht="12.75">
      <c r="B58" s="2">
        <f>IF(Auslosung_Turnierdaten!F61="","",52)</f>
      </c>
    </row>
    <row r="59" ht="12.75">
      <c r="B59" s="2">
        <f>IF(Auslosung_Turnierdaten!F62="","",53)</f>
      </c>
    </row>
    <row r="60" ht="12.75">
      <c r="B60" s="2">
        <f>IF(Auslosung_Turnierdaten!F63="","",54)</f>
      </c>
    </row>
    <row r="61" ht="12.75">
      <c r="B61" s="2">
        <f>IF(Auslosung_Turnierdaten!F64="","",55)</f>
      </c>
    </row>
    <row r="62" ht="12.75">
      <c r="B62" s="2">
        <f>IF(Auslosung_Turnierdaten!F65="","",56)</f>
      </c>
    </row>
    <row r="63" ht="12.75">
      <c r="B63" s="2">
        <f>IF(Auslosung_Turnierdaten!F66="","",57)</f>
      </c>
    </row>
    <row r="64" ht="12.75">
      <c r="B64" s="2">
        <f>IF(Auslosung_Turnierdaten!F67="","",58)</f>
      </c>
    </row>
    <row r="65" ht="12.75">
      <c r="B65" s="2">
        <f>IF(Auslosung_Turnierdaten!F68="","",59)</f>
      </c>
    </row>
    <row r="66" ht="12.75">
      <c r="B66" s="2">
        <f>IF(Auslosung_Turnierdaten!F69="","",60)</f>
      </c>
    </row>
    <row r="67" ht="12.75">
      <c r="B67" s="2">
        <f>IF(Auslosung_Turnierdaten!F70="","",61)</f>
      </c>
    </row>
    <row r="68" ht="12.75">
      <c r="B68" s="2">
        <f>IF(Auslosung_Turnierdaten!F71="","",62)</f>
      </c>
    </row>
    <row r="69" ht="12.75">
      <c r="B69" s="2">
        <f>IF(Auslosung_Turnierdaten!F72="","",63)</f>
      </c>
    </row>
    <row r="70" ht="12.75">
      <c r="B70" s="2">
        <f>IF(Auslosung_Turnierdaten!F73="","",64)</f>
      </c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I1583"/>
  <sheetViews>
    <sheetView zoomScalePageLayoutView="0" workbookViewId="0" topLeftCell="B1">
      <selection activeCell="H33" sqref="H33"/>
    </sheetView>
  </sheetViews>
  <sheetFormatPr defaultColWidth="38.57421875" defaultRowHeight="12.75"/>
  <cols>
    <col min="1" max="1" width="3.00390625" style="0" bestFit="1" customWidth="1"/>
    <col min="2" max="2" width="35.8515625" style="0" bestFit="1" customWidth="1"/>
    <col min="3" max="3" width="4.8515625" style="0" bestFit="1" customWidth="1"/>
    <col min="4" max="4" width="18.140625" style="0" bestFit="1" customWidth="1"/>
    <col min="5" max="5" width="7.57421875" style="0" bestFit="1" customWidth="1"/>
    <col min="6" max="6" width="4.00390625" style="0" bestFit="1" customWidth="1"/>
    <col min="7" max="7" width="7.8515625" style="0" customWidth="1"/>
    <col min="8" max="8" width="15.140625" style="0" customWidth="1"/>
    <col min="9" max="9" width="14.28125" style="0" customWidth="1"/>
  </cols>
  <sheetData>
    <row r="1" spans="1:9" ht="12.75">
      <c r="A1" s="221"/>
      <c r="B1" s="222" t="s">
        <v>127</v>
      </c>
      <c r="C1" s="222" t="s">
        <v>128</v>
      </c>
      <c r="D1" s="222" t="s">
        <v>129</v>
      </c>
      <c r="E1" s="222" t="s">
        <v>130</v>
      </c>
      <c r="F1" s="222"/>
      <c r="H1" s="224"/>
      <c r="I1" s="224"/>
    </row>
    <row r="2" spans="1:9" ht="12.75">
      <c r="A2" s="221">
        <v>1</v>
      </c>
      <c r="B2" s="223" t="str">
        <f>Spielereingabe!D5</f>
        <v>Nachname</v>
      </c>
      <c r="C2" s="228">
        <f>Spielereingabe!F5</f>
        <v>0</v>
      </c>
      <c r="D2" s="223" t="str">
        <f>Spielereingabe!E5</f>
        <v>Verein</v>
      </c>
      <c r="E2" s="225">
        <f>Spielereingabe!G5</f>
        <v>0</v>
      </c>
      <c r="F2" s="225"/>
      <c r="H2" t="s">
        <v>76</v>
      </c>
      <c r="I2" t="s">
        <v>131</v>
      </c>
    </row>
    <row r="3" spans="1:9" ht="25.5">
      <c r="A3" s="221">
        <f>A2+1</f>
        <v>2</v>
      </c>
      <c r="B3" s="223" t="str">
        <f>Spielereingabe!D6</f>
        <v>Kurz</v>
      </c>
      <c r="C3" s="228">
        <f>Spielereingabe!F6</f>
        <v>0</v>
      </c>
      <c r="D3" s="223" t="str">
        <f>Spielereingabe!E6</f>
        <v>PBSC Donauwörth</v>
      </c>
      <c r="E3" s="225" t="str">
        <f>Spielereingabe!G6</f>
        <v>Julian Kurz</v>
      </c>
      <c r="F3" s="225"/>
      <c r="H3" t="s">
        <v>132</v>
      </c>
      <c r="I3" t="s">
        <v>133</v>
      </c>
    </row>
    <row r="4" spans="1:9" ht="51">
      <c r="A4" s="221">
        <f aca="true" t="shared" si="0" ref="A4:A65">A3+1</f>
        <v>3</v>
      </c>
      <c r="B4" s="223" t="str">
        <f>Spielereingabe!D7</f>
        <v>Wiedenmann</v>
      </c>
      <c r="C4" s="228">
        <f>Spielereingabe!F7</f>
        <v>0</v>
      </c>
      <c r="D4" s="223" t="str">
        <f>Spielereingabe!E7</f>
        <v>1.PBC Königsbrunn</v>
      </c>
      <c r="E4" s="225" t="str">
        <f>Spielereingabe!G7</f>
        <v>Christoph Wiedenmann</v>
      </c>
      <c r="F4" s="225"/>
      <c r="H4" t="s">
        <v>134</v>
      </c>
      <c r="I4" t="s">
        <v>135</v>
      </c>
    </row>
    <row r="5" spans="1:9" ht="25.5">
      <c r="A5" s="221">
        <f t="shared" si="0"/>
        <v>4</v>
      </c>
      <c r="B5" s="223" t="str">
        <f>Spielereingabe!D8</f>
        <v>Luhn</v>
      </c>
      <c r="C5" s="228">
        <f>Spielereingabe!F8</f>
        <v>0</v>
      </c>
      <c r="D5" s="223" t="str">
        <f>Spielereingabe!E8</f>
        <v>BSV Forum</v>
      </c>
      <c r="E5" s="225" t="str">
        <f>Spielereingabe!G8</f>
        <v>Oliver Luhn</v>
      </c>
      <c r="F5" s="225"/>
      <c r="H5" t="s">
        <v>136</v>
      </c>
      <c r="I5" t="s">
        <v>137</v>
      </c>
    </row>
    <row r="6" spans="1:9" ht="25.5">
      <c r="A6" s="221">
        <f t="shared" si="0"/>
        <v>5</v>
      </c>
      <c r="B6" s="223" t="str">
        <f>Spielereingabe!D9</f>
        <v>Guddat</v>
      </c>
      <c r="C6" s="228">
        <f>Spielereingabe!F9</f>
        <v>0</v>
      </c>
      <c r="D6" s="223" t="str">
        <f>Spielereingabe!E9</f>
        <v>BSV Forum</v>
      </c>
      <c r="E6" s="225" t="str">
        <f>Spielereingabe!G9</f>
        <v>Florian Guddat</v>
      </c>
      <c r="F6" s="225"/>
      <c r="H6" t="s">
        <v>77</v>
      </c>
      <c r="I6" t="s">
        <v>138</v>
      </c>
    </row>
    <row r="7" spans="1:9" ht="38.25">
      <c r="A7" s="221">
        <f t="shared" si="0"/>
        <v>6</v>
      </c>
      <c r="B7" s="223" t="str">
        <f>Spielereingabe!D10</f>
        <v>Swidersky</v>
      </c>
      <c r="C7" s="228">
        <f>Spielereingabe!F10</f>
        <v>0</v>
      </c>
      <c r="D7" s="223" t="str">
        <f>Spielereingabe!E10</f>
        <v>BSC Martinsried</v>
      </c>
      <c r="E7" s="225" t="str">
        <f>Spielereingabe!G10</f>
        <v>Luis Swidersky</v>
      </c>
      <c r="F7" s="225"/>
      <c r="H7" t="s">
        <v>139</v>
      </c>
      <c r="I7" t="s">
        <v>140</v>
      </c>
    </row>
    <row r="8" spans="1:9" ht="25.5">
      <c r="A8" s="221">
        <f t="shared" si="0"/>
        <v>7</v>
      </c>
      <c r="B8" s="223" t="str">
        <f>Spielereingabe!D11</f>
        <v>Koslitz</v>
      </c>
      <c r="C8" s="228">
        <f>Spielereingabe!F11</f>
        <v>0</v>
      </c>
      <c r="D8" s="223" t="str">
        <f>Spielereingabe!E11</f>
        <v>1.PBC Kempten</v>
      </c>
      <c r="E8" s="225" t="str">
        <f>Spielereingabe!G11</f>
        <v>Daniel Koslitz</v>
      </c>
      <c r="F8" s="225"/>
      <c r="H8" t="s">
        <v>141</v>
      </c>
      <c r="I8" t="s">
        <v>142</v>
      </c>
    </row>
    <row r="9" spans="1:9" ht="25.5">
      <c r="A9" s="221">
        <f t="shared" si="0"/>
        <v>8</v>
      </c>
      <c r="B9" s="223" t="str">
        <f>Spielereingabe!D12</f>
        <v>Döbler</v>
      </c>
      <c r="C9" s="228">
        <f>Spielereingabe!F12</f>
        <v>0</v>
      </c>
      <c r="D9" s="223" t="str">
        <f>Spielereingabe!E12</f>
        <v>PBSC Donauwörth</v>
      </c>
      <c r="E9" s="225" t="str">
        <f>Spielereingabe!G12</f>
        <v>Markus Döbler</v>
      </c>
      <c r="F9" s="225"/>
      <c r="H9" t="s">
        <v>143</v>
      </c>
      <c r="I9" t="s">
        <v>144</v>
      </c>
    </row>
    <row r="10" spans="1:9" ht="25.5">
      <c r="A10" s="221">
        <f t="shared" si="0"/>
        <v>9</v>
      </c>
      <c r="B10" s="223" t="str">
        <f>Spielereingabe!D13</f>
        <v>Engel</v>
      </c>
      <c r="C10" s="228">
        <f>Spielereingabe!F13</f>
        <v>0</v>
      </c>
      <c r="D10" s="223" t="str">
        <f>Spielereingabe!E13</f>
        <v>1.PBC Memmingen</v>
      </c>
      <c r="E10" s="225" t="str">
        <f>Spielereingabe!G13</f>
        <v>Thomas Engel</v>
      </c>
      <c r="F10" s="225"/>
      <c r="H10" t="s">
        <v>145</v>
      </c>
      <c r="I10" t="s">
        <v>146</v>
      </c>
    </row>
    <row r="11" spans="1:9" ht="12.75">
      <c r="A11" s="221">
        <f t="shared" si="0"/>
        <v>10</v>
      </c>
      <c r="B11" s="223">
        <f>Spielereingabe!D14</f>
        <v>0</v>
      </c>
      <c r="C11" s="228">
        <f>Spielereingabe!F14</f>
        <v>0</v>
      </c>
      <c r="D11" s="223">
        <f>Spielereingabe!E14</f>
        <v>0</v>
      </c>
      <c r="E11" s="225">
        <f>Spielereingabe!G14</f>
      </c>
      <c r="F11" s="225"/>
      <c r="H11" t="s">
        <v>147</v>
      </c>
      <c r="I11" t="s">
        <v>148</v>
      </c>
    </row>
    <row r="12" spans="1:9" ht="12.75">
      <c r="A12" s="221">
        <f t="shared" si="0"/>
        <v>11</v>
      </c>
      <c r="B12" s="223">
        <f>Spielereingabe!D15</f>
        <v>0</v>
      </c>
      <c r="C12" s="228">
        <f>Spielereingabe!F15</f>
        <v>0</v>
      </c>
      <c r="D12" s="223">
        <f>Spielereingabe!E15</f>
        <v>0</v>
      </c>
      <c r="E12" s="225">
        <f>Spielereingabe!G15</f>
      </c>
      <c r="F12" s="225"/>
      <c r="H12" t="s">
        <v>149</v>
      </c>
      <c r="I12" t="s">
        <v>150</v>
      </c>
    </row>
    <row r="13" spans="1:9" ht="12.75">
      <c r="A13" s="221">
        <f t="shared" si="0"/>
        <v>12</v>
      </c>
      <c r="B13" s="223">
        <f>Spielereingabe!D16</f>
        <v>0</v>
      </c>
      <c r="C13" s="228">
        <f>Spielereingabe!F16</f>
        <v>0</v>
      </c>
      <c r="D13" s="223">
        <f>Spielereingabe!E16</f>
        <v>0</v>
      </c>
      <c r="E13" s="225">
        <f>Spielereingabe!G16</f>
      </c>
      <c r="F13" s="225"/>
      <c r="H13" t="s">
        <v>151</v>
      </c>
      <c r="I13" t="s">
        <v>152</v>
      </c>
    </row>
    <row r="14" spans="1:9" ht="12.75">
      <c r="A14" s="221">
        <f t="shared" si="0"/>
        <v>13</v>
      </c>
      <c r="B14" s="223">
        <f>Spielereingabe!D17</f>
        <v>0</v>
      </c>
      <c r="C14" s="228">
        <f>Spielereingabe!F17</f>
      </c>
      <c r="D14" s="223">
        <f>Spielereingabe!E17</f>
        <v>0</v>
      </c>
      <c r="E14" s="225">
        <f>Spielereingabe!G17</f>
      </c>
      <c r="F14" s="225"/>
      <c r="H14" t="s">
        <v>153</v>
      </c>
      <c r="I14" t="s">
        <v>154</v>
      </c>
    </row>
    <row r="15" spans="1:9" ht="12.75">
      <c r="A15" s="221">
        <f t="shared" si="0"/>
        <v>14</v>
      </c>
      <c r="B15" s="223">
        <f>Spielereingabe!D18</f>
        <v>0</v>
      </c>
      <c r="C15" s="228">
        <f>Spielereingabe!F18</f>
      </c>
      <c r="D15" s="223">
        <f>Spielereingabe!E18</f>
        <v>0</v>
      </c>
      <c r="E15" s="225">
        <f>Spielereingabe!G18</f>
      </c>
      <c r="F15" s="225"/>
      <c r="H15" t="s">
        <v>155</v>
      </c>
      <c r="I15" t="s">
        <v>156</v>
      </c>
    </row>
    <row r="16" spans="1:9" ht="12.75">
      <c r="A16" s="221">
        <f t="shared" si="0"/>
        <v>15</v>
      </c>
      <c r="B16" s="223">
        <f>Spielereingabe!D19</f>
        <v>0</v>
      </c>
      <c r="C16" s="228">
        <f>Spielereingabe!F19</f>
      </c>
      <c r="D16" s="223">
        <f>Spielereingabe!E19</f>
        <v>0</v>
      </c>
      <c r="E16" s="225">
        <f>Spielereingabe!G19</f>
      </c>
      <c r="F16" s="225"/>
      <c r="H16" t="s">
        <v>157</v>
      </c>
      <c r="I16" t="s">
        <v>158</v>
      </c>
    </row>
    <row r="17" spans="1:9" ht="12.75">
      <c r="A17" s="221">
        <f t="shared" si="0"/>
        <v>16</v>
      </c>
      <c r="B17" s="223">
        <f>Spielereingabe!D20</f>
        <v>0</v>
      </c>
      <c r="C17" s="228">
        <f>Spielereingabe!F20</f>
      </c>
      <c r="D17" s="223">
        <f>Spielereingabe!E20</f>
        <v>0</v>
      </c>
      <c r="E17" s="225">
        <f>Spielereingabe!G20</f>
      </c>
      <c r="F17" s="225"/>
      <c r="H17" t="s">
        <v>159</v>
      </c>
      <c r="I17" t="s">
        <v>160</v>
      </c>
    </row>
    <row r="18" spans="1:9" ht="12.75">
      <c r="A18" s="221">
        <f t="shared" si="0"/>
        <v>17</v>
      </c>
      <c r="B18" s="226"/>
      <c r="C18" s="227"/>
      <c r="D18" s="226"/>
      <c r="E18" s="227"/>
      <c r="F18" s="227"/>
      <c r="H18" t="s">
        <v>161</v>
      </c>
      <c r="I18" t="s">
        <v>162</v>
      </c>
    </row>
    <row r="19" spans="1:9" ht="12.75">
      <c r="A19" s="221">
        <f t="shared" si="0"/>
        <v>18</v>
      </c>
      <c r="B19" s="226"/>
      <c r="C19" s="227"/>
      <c r="D19" s="226"/>
      <c r="E19" s="227"/>
      <c r="F19" s="227"/>
      <c r="H19" t="s">
        <v>163</v>
      </c>
      <c r="I19" t="s">
        <v>164</v>
      </c>
    </row>
    <row r="20" spans="1:9" ht="12.75">
      <c r="A20" s="221">
        <f t="shared" si="0"/>
        <v>19</v>
      </c>
      <c r="B20" s="226"/>
      <c r="C20" s="227"/>
      <c r="D20" s="226"/>
      <c r="E20" s="227"/>
      <c r="F20" s="227"/>
      <c r="H20" t="s">
        <v>165</v>
      </c>
      <c r="I20" t="s">
        <v>166</v>
      </c>
    </row>
    <row r="21" spans="1:9" ht="12.75">
      <c r="A21" s="221">
        <f t="shared" si="0"/>
        <v>20</v>
      </c>
      <c r="B21" s="226"/>
      <c r="C21" s="227"/>
      <c r="D21" s="226"/>
      <c r="E21" s="227"/>
      <c r="F21" s="227"/>
      <c r="H21" t="s">
        <v>167</v>
      </c>
      <c r="I21" t="s">
        <v>168</v>
      </c>
    </row>
    <row r="22" spans="1:9" ht="12.75">
      <c r="A22" s="221">
        <f t="shared" si="0"/>
        <v>21</v>
      </c>
      <c r="B22" s="226"/>
      <c r="C22" s="227"/>
      <c r="D22" s="226"/>
      <c r="E22" s="227"/>
      <c r="F22" s="227"/>
      <c r="H22" t="s">
        <v>169</v>
      </c>
      <c r="I22" t="s">
        <v>123</v>
      </c>
    </row>
    <row r="23" spans="1:9" ht="12.75">
      <c r="A23" s="221">
        <f t="shared" si="0"/>
        <v>22</v>
      </c>
      <c r="B23" s="226"/>
      <c r="C23" s="227"/>
      <c r="D23" s="226"/>
      <c r="E23" s="227"/>
      <c r="F23" s="227"/>
      <c r="H23" t="s">
        <v>170</v>
      </c>
      <c r="I23" t="s">
        <v>122</v>
      </c>
    </row>
    <row r="24" spans="1:9" ht="12.75">
      <c r="A24" s="221">
        <f t="shared" si="0"/>
        <v>23</v>
      </c>
      <c r="B24" s="226"/>
      <c r="C24" s="227"/>
      <c r="D24" s="226"/>
      <c r="E24" s="227"/>
      <c r="F24" s="227"/>
      <c r="H24" t="s">
        <v>171</v>
      </c>
      <c r="I24" t="s">
        <v>121</v>
      </c>
    </row>
    <row r="25" spans="1:9" ht="12.75">
      <c r="A25" s="221">
        <f t="shared" si="0"/>
        <v>24</v>
      </c>
      <c r="B25" s="226"/>
      <c r="C25" s="227"/>
      <c r="D25" s="226"/>
      <c r="E25" s="227"/>
      <c r="F25" s="227"/>
      <c r="H25" t="s">
        <v>172</v>
      </c>
      <c r="I25" t="s">
        <v>124</v>
      </c>
    </row>
    <row r="26" spans="1:9" ht="12.75">
      <c r="A26" s="221">
        <f t="shared" si="0"/>
        <v>25</v>
      </c>
      <c r="B26" s="226"/>
      <c r="C26" s="227"/>
      <c r="D26" s="226"/>
      <c r="E26" s="227"/>
      <c r="F26" s="227"/>
      <c r="H26" t="s">
        <v>173</v>
      </c>
      <c r="I26" t="s">
        <v>174</v>
      </c>
    </row>
    <row r="27" spans="1:9" ht="12.75">
      <c r="A27" s="221">
        <f t="shared" si="0"/>
        <v>26</v>
      </c>
      <c r="B27" s="226"/>
      <c r="C27" s="227"/>
      <c r="D27" s="226"/>
      <c r="E27" s="227"/>
      <c r="F27" s="227"/>
      <c r="H27" t="s">
        <v>175</v>
      </c>
      <c r="I27" t="s">
        <v>176</v>
      </c>
    </row>
    <row r="28" spans="1:9" ht="12.75">
      <c r="A28" s="221">
        <f t="shared" si="0"/>
        <v>27</v>
      </c>
      <c r="B28" s="226"/>
      <c r="C28" s="227"/>
      <c r="D28" s="226"/>
      <c r="E28" s="227"/>
      <c r="F28" s="227"/>
      <c r="H28" t="s">
        <v>177</v>
      </c>
      <c r="I28" t="s">
        <v>178</v>
      </c>
    </row>
    <row r="29" spans="1:9" ht="12.75">
      <c r="A29" s="221">
        <f t="shared" si="0"/>
        <v>28</v>
      </c>
      <c r="B29" s="226"/>
      <c r="C29" s="227"/>
      <c r="D29" s="226"/>
      <c r="E29" s="227"/>
      <c r="F29" s="227"/>
      <c r="H29" t="s">
        <v>179</v>
      </c>
      <c r="I29" t="s">
        <v>180</v>
      </c>
    </row>
    <row r="30" spans="1:6" ht="12.75">
      <c r="A30" s="221">
        <f t="shared" si="0"/>
        <v>29</v>
      </c>
      <c r="B30" s="226"/>
      <c r="C30" s="227"/>
      <c r="D30" s="226"/>
      <c r="E30" s="227"/>
      <c r="F30" s="227"/>
    </row>
    <row r="31" spans="1:6" ht="12.75">
      <c r="A31" s="221">
        <f t="shared" si="0"/>
        <v>30</v>
      </c>
      <c r="B31" s="226"/>
      <c r="C31" s="227"/>
      <c r="D31" s="226"/>
      <c r="E31" s="227"/>
      <c r="F31" s="227"/>
    </row>
    <row r="32" spans="1:6" ht="12.75">
      <c r="A32" s="221">
        <f t="shared" si="0"/>
        <v>31</v>
      </c>
      <c r="B32" s="226"/>
      <c r="C32" s="227"/>
      <c r="D32" s="226"/>
      <c r="E32" s="227"/>
      <c r="F32" s="227"/>
    </row>
    <row r="33" spans="1:6" ht="12.75">
      <c r="A33" s="221">
        <f t="shared" si="0"/>
        <v>32</v>
      </c>
      <c r="B33" s="226"/>
      <c r="C33" s="227"/>
      <c r="D33" s="226"/>
      <c r="E33" s="227"/>
      <c r="F33" s="227"/>
    </row>
    <row r="34" spans="1:6" ht="12.75">
      <c r="A34" s="221">
        <f t="shared" si="0"/>
        <v>33</v>
      </c>
      <c r="B34" s="226"/>
      <c r="C34" s="227"/>
      <c r="D34" s="226"/>
      <c r="E34" s="227"/>
      <c r="F34" s="227"/>
    </row>
    <row r="35" spans="1:6" ht="12.75">
      <c r="A35" s="221">
        <f t="shared" si="0"/>
        <v>34</v>
      </c>
      <c r="B35" s="226"/>
      <c r="C35" s="227"/>
      <c r="D35" s="226"/>
      <c r="E35" s="227"/>
      <c r="F35" s="227"/>
    </row>
    <row r="36" spans="1:6" ht="12.75">
      <c r="A36" s="221">
        <f t="shared" si="0"/>
        <v>35</v>
      </c>
      <c r="B36" s="226"/>
      <c r="C36" s="227"/>
      <c r="D36" s="226"/>
      <c r="E36" s="227"/>
      <c r="F36" s="227"/>
    </row>
    <row r="37" spans="1:6" ht="12.75">
      <c r="A37" s="221">
        <f t="shared" si="0"/>
        <v>36</v>
      </c>
      <c r="B37" s="226"/>
      <c r="C37" s="227"/>
      <c r="D37" s="226"/>
      <c r="E37" s="227"/>
      <c r="F37" s="227"/>
    </row>
    <row r="38" spans="1:6" ht="12.75">
      <c r="A38" s="221">
        <f t="shared" si="0"/>
        <v>37</v>
      </c>
      <c r="B38" s="226"/>
      <c r="C38" s="227"/>
      <c r="D38" s="226"/>
      <c r="E38" s="227"/>
      <c r="F38" s="227"/>
    </row>
    <row r="39" spans="1:6" ht="12.75">
      <c r="A39" s="221">
        <f t="shared" si="0"/>
        <v>38</v>
      </c>
      <c r="B39" s="226"/>
      <c r="C39" s="227"/>
      <c r="D39" s="226"/>
      <c r="E39" s="227"/>
      <c r="F39" s="227"/>
    </row>
    <row r="40" spans="1:6" ht="12.75">
      <c r="A40" s="221">
        <f t="shared" si="0"/>
        <v>39</v>
      </c>
      <c r="B40" s="226"/>
      <c r="C40" s="227"/>
      <c r="D40" s="226"/>
      <c r="E40" s="227"/>
      <c r="F40" s="227"/>
    </row>
    <row r="41" spans="1:6" ht="12.75">
      <c r="A41" s="221">
        <f t="shared" si="0"/>
        <v>40</v>
      </c>
      <c r="B41" s="226"/>
      <c r="C41" s="227"/>
      <c r="D41" s="226"/>
      <c r="E41" s="227"/>
      <c r="F41" s="227"/>
    </row>
    <row r="42" spans="1:6" ht="12.75">
      <c r="A42" s="221">
        <f t="shared" si="0"/>
        <v>41</v>
      </c>
      <c r="B42" s="226"/>
      <c r="C42" s="227"/>
      <c r="D42" s="226"/>
      <c r="E42" s="227"/>
      <c r="F42" s="227"/>
    </row>
    <row r="43" spans="1:6" ht="12.75">
      <c r="A43" s="221">
        <f t="shared" si="0"/>
        <v>42</v>
      </c>
      <c r="B43" s="226"/>
      <c r="C43" s="227"/>
      <c r="D43" s="226"/>
      <c r="E43" s="227"/>
      <c r="F43" s="227"/>
    </row>
    <row r="44" spans="1:6" ht="12.75">
      <c r="A44" s="221">
        <f t="shared" si="0"/>
        <v>43</v>
      </c>
      <c r="B44" s="226"/>
      <c r="C44" s="227"/>
      <c r="D44" s="226"/>
      <c r="E44" s="227"/>
      <c r="F44" s="227"/>
    </row>
    <row r="45" spans="1:6" ht="12.75">
      <c r="A45" s="221">
        <f t="shared" si="0"/>
        <v>44</v>
      </c>
      <c r="B45" s="226"/>
      <c r="C45" s="227"/>
      <c r="D45" s="226"/>
      <c r="E45" s="227"/>
      <c r="F45" s="227"/>
    </row>
    <row r="46" spans="1:6" ht="12.75">
      <c r="A46" s="221">
        <f t="shared" si="0"/>
        <v>45</v>
      </c>
      <c r="B46" s="226"/>
      <c r="C46" s="227"/>
      <c r="D46" s="226"/>
      <c r="E46" s="227"/>
      <c r="F46" s="227"/>
    </row>
    <row r="47" spans="1:6" ht="12.75">
      <c r="A47" s="221">
        <f t="shared" si="0"/>
        <v>46</v>
      </c>
      <c r="B47" s="226"/>
      <c r="C47" s="227"/>
      <c r="D47" s="226"/>
      <c r="E47" s="227"/>
      <c r="F47" s="227"/>
    </row>
    <row r="48" spans="1:6" ht="12.75">
      <c r="A48" s="221">
        <f t="shared" si="0"/>
        <v>47</v>
      </c>
      <c r="B48" s="226"/>
      <c r="C48" s="227"/>
      <c r="D48" s="226"/>
      <c r="E48" s="227"/>
      <c r="F48" s="227"/>
    </row>
    <row r="49" spans="1:6" ht="12.75">
      <c r="A49" s="221">
        <f t="shared" si="0"/>
        <v>48</v>
      </c>
      <c r="B49" s="226"/>
      <c r="C49" s="227"/>
      <c r="D49" s="226"/>
      <c r="E49" s="227"/>
      <c r="F49" s="227"/>
    </row>
    <row r="50" spans="1:6" ht="12.75">
      <c r="A50" s="221">
        <f t="shared" si="0"/>
        <v>49</v>
      </c>
      <c r="B50" s="226"/>
      <c r="C50" s="227"/>
      <c r="D50" s="226"/>
      <c r="E50" s="227"/>
      <c r="F50" s="227"/>
    </row>
    <row r="51" spans="1:6" ht="12.75">
      <c r="A51" s="221">
        <f t="shared" si="0"/>
        <v>50</v>
      </c>
      <c r="B51" s="226"/>
      <c r="C51" s="227"/>
      <c r="D51" s="226"/>
      <c r="E51" s="227"/>
      <c r="F51" s="227"/>
    </row>
    <row r="52" spans="1:6" ht="12.75">
      <c r="A52" s="221">
        <f t="shared" si="0"/>
        <v>51</v>
      </c>
      <c r="B52" s="226"/>
      <c r="C52" s="227"/>
      <c r="D52" s="226"/>
      <c r="E52" s="227"/>
      <c r="F52" s="227"/>
    </row>
    <row r="53" spans="1:6" ht="12.75">
      <c r="A53" s="221">
        <f t="shared" si="0"/>
        <v>52</v>
      </c>
      <c r="B53" s="226"/>
      <c r="C53" s="227"/>
      <c r="D53" s="226"/>
      <c r="E53" s="227"/>
      <c r="F53" s="227"/>
    </row>
    <row r="54" spans="1:6" ht="12.75">
      <c r="A54" s="221">
        <f t="shared" si="0"/>
        <v>53</v>
      </c>
      <c r="B54" s="226"/>
      <c r="C54" s="227"/>
      <c r="D54" s="226"/>
      <c r="E54" s="227"/>
      <c r="F54" s="227"/>
    </row>
    <row r="55" spans="1:6" ht="12.75">
      <c r="A55" s="221">
        <f t="shared" si="0"/>
        <v>54</v>
      </c>
      <c r="B55" s="226"/>
      <c r="C55" s="227"/>
      <c r="D55" s="226"/>
      <c r="E55" s="227"/>
      <c r="F55" s="227"/>
    </row>
    <row r="56" spans="1:6" ht="12.75">
      <c r="A56" s="221">
        <f t="shared" si="0"/>
        <v>55</v>
      </c>
      <c r="B56" s="226"/>
      <c r="C56" s="227"/>
      <c r="D56" s="226"/>
      <c r="E56" s="227"/>
      <c r="F56" s="227"/>
    </row>
    <row r="57" spans="1:6" ht="12.75">
      <c r="A57" s="221">
        <f t="shared" si="0"/>
        <v>56</v>
      </c>
      <c r="B57" s="226"/>
      <c r="C57" s="227"/>
      <c r="D57" s="226"/>
      <c r="E57" s="227"/>
      <c r="F57" s="227"/>
    </row>
    <row r="58" spans="1:6" ht="12.75">
      <c r="A58" s="221">
        <f t="shared" si="0"/>
        <v>57</v>
      </c>
      <c r="B58" s="226"/>
      <c r="C58" s="227"/>
      <c r="D58" s="226"/>
      <c r="E58" s="227"/>
      <c r="F58" s="227"/>
    </row>
    <row r="59" spans="1:6" ht="12.75">
      <c r="A59" s="221">
        <f t="shared" si="0"/>
        <v>58</v>
      </c>
      <c r="B59" s="226"/>
      <c r="C59" s="227"/>
      <c r="D59" s="226"/>
      <c r="E59" s="227"/>
      <c r="F59" s="227"/>
    </row>
    <row r="60" spans="1:6" ht="12.75">
      <c r="A60" s="221">
        <f t="shared" si="0"/>
        <v>59</v>
      </c>
      <c r="B60" s="226"/>
      <c r="C60" s="227"/>
      <c r="D60" s="226"/>
      <c r="E60" s="227"/>
      <c r="F60" s="227"/>
    </row>
    <row r="61" spans="1:6" ht="12.75">
      <c r="A61" s="221">
        <f t="shared" si="0"/>
        <v>60</v>
      </c>
      <c r="B61" s="226"/>
      <c r="C61" s="227"/>
      <c r="D61" s="226"/>
      <c r="E61" s="227"/>
      <c r="F61" s="227"/>
    </row>
    <row r="62" spans="1:6" ht="12.75">
      <c r="A62" s="221">
        <f t="shared" si="0"/>
        <v>61</v>
      </c>
      <c r="B62" s="226"/>
      <c r="C62" s="227"/>
      <c r="D62" s="226"/>
      <c r="E62" s="227"/>
      <c r="F62" s="227"/>
    </row>
    <row r="63" spans="1:6" ht="12.75">
      <c r="A63" s="221">
        <f t="shared" si="0"/>
        <v>62</v>
      </c>
      <c r="B63" s="226"/>
      <c r="C63" s="227"/>
      <c r="D63" s="226"/>
      <c r="E63" s="227"/>
      <c r="F63" s="227"/>
    </row>
    <row r="64" spans="1:6" ht="12.75">
      <c r="A64" s="221">
        <f t="shared" si="0"/>
        <v>63</v>
      </c>
      <c r="B64" s="226"/>
      <c r="C64" s="227"/>
      <c r="D64" s="226"/>
      <c r="E64" s="227"/>
      <c r="F64" s="227"/>
    </row>
    <row r="65" spans="1:6" ht="12.75">
      <c r="A65" s="221">
        <f t="shared" si="0"/>
        <v>64</v>
      </c>
      <c r="B65" s="226"/>
      <c r="C65" s="227"/>
      <c r="D65" s="226"/>
      <c r="E65" s="227"/>
      <c r="F65" s="227"/>
    </row>
    <row r="66" spans="2:6" ht="12.75">
      <c r="B66" s="226"/>
      <c r="C66" s="227"/>
      <c r="D66" s="226"/>
      <c r="E66" s="227"/>
      <c r="F66" s="227"/>
    </row>
    <row r="67" spans="2:6" ht="12.75">
      <c r="B67" s="226"/>
      <c r="C67" s="227"/>
      <c r="D67" s="226"/>
      <c r="E67" s="227"/>
      <c r="F67" s="227"/>
    </row>
    <row r="68" spans="2:6" ht="12.75">
      <c r="B68" s="226"/>
      <c r="C68" s="227"/>
      <c r="D68" s="226"/>
      <c r="E68" s="227"/>
      <c r="F68" s="227"/>
    </row>
    <row r="69" spans="2:6" ht="12.75">
      <c r="B69" s="226"/>
      <c r="C69" s="227"/>
      <c r="D69" s="226"/>
      <c r="E69" s="227"/>
      <c r="F69" s="227"/>
    </row>
    <row r="70" spans="2:6" ht="12.75">
      <c r="B70" s="226"/>
      <c r="C70" s="227"/>
      <c r="D70" s="226"/>
      <c r="E70" s="227"/>
      <c r="F70" s="227"/>
    </row>
    <row r="71" spans="2:6" ht="12.75">
      <c r="B71" s="226"/>
      <c r="C71" s="227"/>
      <c r="D71" s="226"/>
      <c r="E71" s="227"/>
      <c r="F71" s="227"/>
    </row>
    <row r="72" spans="2:6" ht="12.75">
      <c r="B72" s="226"/>
      <c r="C72" s="227"/>
      <c r="D72" s="226"/>
      <c r="E72" s="227"/>
      <c r="F72" s="227"/>
    </row>
    <row r="73" spans="2:6" ht="12.75">
      <c r="B73" s="226"/>
      <c r="C73" s="227"/>
      <c r="D73" s="226"/>
      <c r="E73" s="227"/>
      <c r="F73" s="227"/>
    </row>
    <row r="74" spans="2:6" ht="12.75">
      <c r="B74" s="226"/>
      <c r="C74" s="227"/>
      <c r="D74" s="226"/>
      <c r="E74" s="227"/>
      <c r="F74" s="227"/>
    </row>
    <row r="75" spans="2:6" ht="12.75">
      <c r="B75" s="226"/>
      <c r="C75" s="227"/>
      <c r="D75" s="226"/>
      <c r="E75" s="227"/>
      <c r="F75" s="227"/>
    </row>
    <row r="76" spans="2:6" ht="12.75">
      <c r="B76" s="226"/>
      <c r="C76" s="227"/>
      <c r="D76" s="226"/>
      <c r="E76" s="227"/>
      <c r="F76" s="227"/>
    </row>
    <row r="77" spans="2:6" ht="12.75">
      <c r="B77" s="226"/>
      <c r="C77" s="227"/>
      <c r="D77" s="226"/>
      <c r="E77" s="227"/>
      <c r="F77" s="227"/>
    </row>
    <row r="78" spans="2:6" ht="12.75">
      <c r="B78" s="226"/>
      <c r="C78" s="227"/>
      <c r="D78" s="226"/>
      <c r="E78" s="227"/>
      <c r="F78" s="227"/>
    </row>
    <row r="79" spans="2:6" ht="12.75">
      <c r="B79" s="226"/>
      <c r="C79" s="227"/>
      <c r="D79" s="226"/>
      <c r="E79" s="227"/>
      <c r="F79" s="227"/>
    </row>
    <row r="80" spans="2:6" ht="12.75">
      <c r="B80" s="226"/>
      <c r="C80" s="227"/>
      <c r="D80" s="226"/>
      <c r="E80" s="227"/>
      <c r="F80" s="227"/>
    </row>
    <row r="81" spans="2:6" ht="12.75">
      <c r="B81" s="226"/>
      <c r="C81" s="227"/>
      <c r="D81" s="226"/>
      <c r="E81" s="227"/>
      <c r="F81" s="227"/>
    </row>
    <row r="82" spans="2:6" ht="12.75">
      <c r="B82" s="226"/>
      <c r="C82" s="227"/>
      <c r="D82" s="226"/>
      <c r="E82" s="227"/>
      <c r="F82" s="227"/>
    </row>
    <row r="83" spans="2:6" ht="12.75">
      <c r="B83" s="226"/>
      <c r="C83" s="227"/>
      <c r="D83" s="226"/>
      <c r="E83" s="227"/>
      <c r="F83" s="227"/>
    </row>
    <row r="84" spans="2:6" ht="12.75">
      <c r="B84" s="226"/>
      <c r="C84" s="227"/>
      <c r="D84" s="226"/>
      <c r="E84" s="227"/>
      <c r="F84" s="227"/>
    </row>
    <row r="85" spans="2:6" ht="12.75">
      <c r="B85" s="226"/>
      <c r="C85" s="227"/>
      <c r="D85" s="226"/>
      <c r="E85" s="227"/>
      <c r="F85" s="227"/>
    </row>
    <row r="86" spans="2:6" ht="12.75">
      <c r="B86" s="226"/>
      <c r="C86" s="227"/>
      <c r="D86" s="226"/>
      <c r="E86" s="227"/>
      <c r="F86" s="227"/>
    </row>
    <row r="87" spans="2:6" ht="12.75">
      <c r="B87" s="226"/>
      <c r="C87" s="227"/>
      <c r="D87" s="226"/>
      <c r="E87" s="227"/>
      <c r="F87" s="227"/>
    </row>
    <row r="88" spans="2:6" ht="12.75">
      <c r="B88" s="226"/>
      <c r="C88" s="227"/>
      <c r="D88" s="226"/>
      <c r="E88" s="227"/>
      <c r="F88" s="227"/>
    </row>
    <row r="89" spans="2:6" ht="12.75">
      <c r="B89" s="226"/>
      <c r="C89" s="227"/>
      <c r="D89" s="226"/>
      <c r="E89" s="227"/>
      <c r="F89" s="227"/>
    </row>
    <row r="90" spans="2:6" ht="12.75">
      <c r="B90" s="226"/>
      <c r="C90" s="227"/>
      <c r="D90" s="226"/>
      <c r="E90" s="227"/>
      <c r="F90" s="227"/>
    </row>
    <row r="91" spans="2:6" ht="12.75">
      <c r="B91" s="226"/>
      <c r="C91" s="227"/>
      <c r="D91" s="226"/>
      <c r="E91" s="227"/>
      <c r="F91" s="227"/>
    </row>
    <row r="92" spans="2:6" ht="12.75">
      <c r="B92" s="226"/>
      <c r="C92" s="227"/>
      <c r="D92" s="226"/>
      <c r="E92" s="227"/>
      <c r="F92" s="227"/>
    </row>
    <row r="93" spans="2:6" ht="12.75">
      <c r="B93" s="226"/>
      <c r="C93" s="227"/>
      <c r="D93" s="226"/>
      <c r="E93" s="227"/>
      <c r="F93" s="227"/>
    </row>
    <row r="94" spans="2:6" ht="12.75">
      <c r="B94" s="226"/>
      <c r="C94" s="227"/>
      <c r="D94" s="226"/>
      <c r="E94" s="227"/>
      <c r="F94" s="227"/>
    </row>
    <row r="95" spans="2:6" ht="12.75">
      <c r="B95" s="226"/>
      <c r="C95" s="227"/>
      <c r="D95" s="226"/>
      <c r="E95" s="227"/>
      <c r="F95" s="227"/>
    </row>
    <row r="96" spans="2:6" ht="12.75">
      <c r="B96" s="226"/>
      <c r="C96" s="227"/>
      <c r="D96" s="226"/>
      <c r="E96" s="227"/>
      <c r="F96" s="227"/>
    </row>
    <row r="97" spans="2:6" ht="12.75">
      <c r="B97" s="226"/>
      <c r="C97" s="227"/>
      <c r="D97" s="226"/>
      <c r="E97" s="227"/>
      <c r="F97" s="227"/>
    </row>
    <row r="98" spans="2:6" ht="12.75">
      <c r="B98" s="226"/>
      <c r="C98" s="227"/>
      <c r="D98" s="226"/>
      <c r="E98" s="227"/>
      <c r="F98" s="227"/>
    </row>
    <row r="99" spans="2:6" ht="12.75">
      <c r="B99" s="226"/>
      <c r="C99" s="227"/>
      <c r="D99" s="226"/>
      <c r="E99" s="227"/>
      <c r="F99" s="227"/>
    </row>
    <row r="100" spans="2:6" ht="12.75">
      <c r="B100" s="226"/>
      <c r="C100" s="227"/>
      <c r="D100" s="226"/>
      <c r="E100" s="227"/>
      <c r="F100" s="227"/>
    </row>
    <row r="101" spans="2:6" ht="12.75">
      <c r="B101" s="226"/>
      <c r="C101" s="227"/>
      <c r="D101" s="226"/>
      <c r="E101" s="227"/>
      <c r="F101" s="227"/>
    </row>
    <row r="102" spans="2:6" ht="12.75">
      <c r="B102" s="226"/>
      <c r="C102" s="227"/>
      <c r="D102" s="226"/>
      <c r="E102" s="227"/>
      <c r="F102" s="227"/>
    </row>
    <row r="103" spans="2:6" ht="12.75">
      <c r="B103" s="226"/>
      <c r="C103" s="227"/>
      <c r="D103" s="226"/>
      <c r="E103" s="227"/>
      <c r="F103" s="227"/>
    </row>
    <row r="104" spans="2:6" ht="12.75">
      <c r="B104" s="226"/>
      <c r="C104" s="227"/>
      <c r="D104" s="226"/>
      <c r="E104" s="227"/>
      <c r="F104" s="227"/>
    </row>
    <row r="105" spans="2:6" ht="12.75">
      <c r="B105" s="226"/>
      <c r="C105" s="227"/>
      <c r="D105" s="226"/>
      <c r="E105" s="227"/>
      <c r="F105" s="227"/>
    </row>
    <row r="106" spans="2:6" ht="12.75">
      <c r="B106" s="226"/>
      <c r="C106" s="227"/>
      <c r="D106" s="226"/>
      <c r="E106" s="227"/>
      <c r="F106" s="227"/>
    </row>
    <row r="107" spans="2:6" ht="12.75">
      <c r="B107" s="226"/>
      <c r="C107" s="227"/>
      <c r="D107" s="226"/>
      <c r="E107" s="227"/>
      <c r="F107" s="227"/>
    </row>
    <row r="108" spans="2:6" ht="12.75">
      <c r="B108" s="226"/>
      <c r="C108" s="227"/>
      <c r="D108" s="226"/>
      <c r="E108" s="227"/>
      <c r="F108" s="227"/>
    </row>
    <row r="109" spans="2:6" ht="12.75">
      <c r="B109" s="226"/>
      <c r="C109" s="227"/>
      <c r="D109" s="226"/>
      <c r="E109" s="227"/>
      <c r="F109" s="227"/>
    </row>
    <row r="110" spans="2:6" ht="12.75">
      <c r="B110" s="226"/>
      <c r="C110" s="227"/>
      <c r="D110" s="226"/>
      <c r="E110" s="227"/>
      <c r="F110" s="227"/>
    </row>
    <row r="111" spans="2:6" ht="12.75">
      <c r="B111" s="226"/>
      <c r="C111" s="227"/>
      <c r="D111" s="226"/>
      <c r="E111" s="227"/>
      <c r="F111" s="227"/>
    </row>
    <row r="112" spans="2:6" ht="12.75">
      <c r="B112" s="226"/>
      <c r="C112" s="227"/>
      <c r="D112" s="226"/>
      <c r="E112" s="227"/>
      <c r="F112" s="227"/>
    </row>
    <row r="113" spans="2:6" ht="12.75">
      <c r="B113" s="226"/>
      <c r="C113" s="227"/>
      <c r="D113" s="226"/>
      <c r="E113" s="227"/>
      <c r="F113" s="227"/>
    </row>
    <row r="114" spans="2:6" ht="12.75">
      <c r="B114" s="226"/>
      <c r="C114" s="227"/>
      <c r="D114" s="226"/>
      <c r="E114" s="227"/>
      <c r="F114" s="227"/>
    </row>
    <row r="115" spans="2:6" ht="12.75">
      <c r="B115" s="226"/>
      <c r="C115" s="227"/>
      <c r="D115" s="226"/>
      <c r="E115" s="227"/>
      <c r="F115" s="227"/>
    </row>
    <row r="116" spans="2:6" ht="12.75">
      <c r="B116" s="226"/>
      <c r="C116" s="227"/>
      <c r="D116" s="226"/>
      <c r="E116" s="227"/>
      <c r="F116" s="227"/>
    </row>
    <row r="117" spans="2:6" ht="12.75">
      <c r="B117" s="226"/>
      <c r="C117" s="227"/>
      <c r="D117" s="226"/>
      <c r="E117" s="227"/>
      <c r="F117" s="227"/>
    </row>
    <row r="118" spans="2:6" ht="12.75">
      <c r="B118" s="226"/>
      <c r="C118" s="227"/>
      <c r="D118" s="226"/>
      <c r="E118" s="227"/>
      <c r="F118" s="227"/>
    </row>
    <row r="119" spans="2:6" ht="12.75">
      <c r="B119" s="226"/>
      <c r="C119" s="227"/>
      <c r="D119" s="226"/>
      <c r="E119" s="227"/>
      <c r="F119" s="227"/>
    </row>
    <row r="120" spans="2:6" ht="12.75">
      <c r="B120" s="226"/>
      <c r="C120" s="227"/>
      <c r="D120" s="226"/>
      <c r="E120" s="227"/>
      <c r="F120" s="227"/>
    </row>
    <row r="121" spans="2:6" ht="12.75">
      <c r="B121" s="226"/>
      <c r="C121" s="227"/>
      <c r="D121" s="226"/>
      <c r="E121" s="227"/>
      <c r="F121" s="227"/>
    </row>
    <row r="122" spans="2:6" ht="12.75">
      <c r="B122" s="226"/>
      <c r="C122" s="227"/>
      <c r="D122" s="226"/>
      <c r="E122" s="227"/>
      <c r="F122" s="227"/>
    </row>
    <row r="123" spans="2:6" ht="12.75">
      <c r="B123" s="226"/>
      <c r="C123" s="227"/>
      <c r="D123" s="226"/>
      <c r="E123" s="227"/>
      <c r="F123" s="227"/>
    </row>
    <row r="124" spans="2:6" ht="12.75">
      <c r="B124" s="226"/>
      <c r="C124" s="227"/>
      <c r="D124" s="226"/>
      <c r="E124" s="227"/>
      <c r="F124" s="227"/>
    </row>
    <row r="125" spans="2:6" ht="12.75">
      <c r="B125" s="226"/>
      <c r="C125" s="227"/>
      <c r="D125" s="226"/>
      <c r="E125" s="227"/>
      <c r="F125" s="227"/>
    </row>
    <row r="126" spans="2:6" ht="12.75">
      <c r="B126" s="226"/>
      <c r="C126" s="227"/>
      <c r="D126" s="226"/>
      <c r="E126" s="227"/>
      <c r="F126" s="227"/>
    </row>
    <row r="127" spans="2:6" ht="12.75">
      <c r="B127" s="226"/>
      <c r="C127" s="227"/>
      <c r="D127" s="226"/>
      <c r="E127" s="227"/>
      <c r="F127" s="227"/>
    </row>
    <row r="128" spans="2:6" ht="12.75">
      <c r="B128" s="226"/>
      <c r="C128" s="227"/>
      <c r="D128" s="226"/>
      <c r="E128" s="227"/>
      <c r="F128" s="227"/>
    </row>
    <row r="129" spans="2:6" ht="12.75">
      <c r="B129" s="226"/>
      <c r="C129" s="227"/>
      <c r="D129" s="226"/>
      <c r="E129" s="227"/>
      <c r="F129" s="227"/>
    </row>
    <row r="130" spans="2:6" ht="12.75">
      <c r="B130" s="226"/>
      <c r="C130" s="227"/>
      <c r="D130" s="226"/>
      <c r="E130" s="227"/>
      <c r="F130" s="227"/>
    </row>
    <row r="131" spans="2:6" ht="12.75">
      <c r="B131" s="226"/>
      <c r="C131" s="227"/>
      <c r="D131" s="226"/>
      <c r="E131" s="227"/>
      <c r="F131" s="227"/>
    </row>
    <row r="132" spans="2:6" ht="12.75">
      <c r="B132" s="226"/>
      <c r="C132" s="227"/>
      <c r="D132" s="226"/>
      <c r="E132" s="227"/>
      <c r="F132" s="227"/>
    </row>
    <row r="133" spans="2:6" ht="12.75">
      <c r="B133" s="226"/>
      <c r="C133" s="227"/>
      <c r="D133" s="226"/>
      <c r="E133" s="227"/>
      <c r="F133" s="227"/>
    </row>
    <row r="134" spans="2:6" ht="12.75">
      <c r="B134" s="226"/>
      <c r="C134" s="227"/>
      <c r="D134" s="226"/>
      <c r="E134" s="227"/>
      <c r="F134" s="227"/>
    </row>
    <row r="135" spans="2:6" ht="12.75">
      <c r="B135" s="226"/>
      <c r="C135" s="227"/>
      <c r="D135" s="226"/>
      <c r="E135" s="227"/>
      <c r="F135" s="227"/>
    </row>
    <row r="136" spans="2:6" ht="12.75">
      <c r="B136" s="226"/>
      <c r="C136" s="227"/>
      <c r="D136" s="226"/>
      <c r="E136" s="227"/>
      <c r="F136" s="227"/>
    </row>
    <row r="137" spans="2:6" ht="12.75">
      <c r="B137" s="226"/>
      <c r="C137" s="227"/>
      <c r="D137" s="226"/>
      <c r="E137" s="227"/>
      <c r="F137" s="227"/>
    </row>
    <row r="138" spans="2:6" ht="12.75">
      <c r="B138" s="226"/>
      <c r="C138" s="227"/>
      <c r="D138" s="226"/>
      <c r="E138" s="227"/>
      <c r="F138" s="227"/>
    </row>
    <row r="139" spans="2:6" ht="12.75">
      <c r="B139" s="226"/>
      <c r="C139" s="227"/>
      <c r="D139" s="226"/>
      <c r="E139" s="227"/>
      <c r="F139" s="227"/>
    </row>
    <row r="140" spans="2:6" ht="12.75">
      <c r="B140" s="226"/>
      <c r="C140" s="227"/>
      <c r="D140" s="226"/>
      <c r="E140" s="227"/>
      <c r="F140" s="227"/>
    </row>
    <row r="141" spans="2:6" ht="12.75">
      <c r="B141" s="226"/>
      <c r="C141" s="227"/>
      <c r="D141" s="226"/>
      <c r="E141" s="227"/>
      <c r="F141" s="227"/>
    </row>
    <row r="142" spans="2:6" ht="12.75">
      <c r="B142" s="226"/>
      <c r="C142" s="227"/>
      <c r="D142" s="226"/>
      <c r="E142" s="227"/>
      <c r="F142" s="227"/>
    </row>
    <row r="143" spans="2:6" ht="12.75">
      <c r="B143" s="226"/>
      <c r="C143" s="227"/>
      <c r="D143" s="226"/>
      <c r="E143" s="227"/>
      <c r="F143" s="227"/>
    </row>
    <row r="144" spans="2:6" ht="12.75">
      <c r="B144" s="226"/>
      <c r="C144" s="227"/>
      <c r="D144" s="226"/>
      <c r="E144" s="227"/>
      <c r="F144" s="227"/>
    </row>
    <row r="145" spans="2:6" ht="12.75">
      <c r="B145" s="226"/>
      <c r="C145" s="227"/>
      <c r="D145" s="226"/>
      <c r="E145" s="227"/>
      <c r="F145" s="227"/>
    </row>
    <row r="146" spans="2:6" ht="12.75">
      <c r="B146" s="226"/>
      <c r="C146" s="227"/>
      <c r="D146" s="226"/>
      <c r="E146" s="227"/>
      <c r="F146" s="227"/>
    </row>
    <row r="147" spans="2:6" ht="12.75">
      <c r="B147" s="226"/>
      <c r="C147" s="227"/>
      <c r="D147" s="226"/>
      <c r="E147" s="227"/>
      <c r="F147" s="227"/>
    </row>
    <row r="148" spans="2:6" ht="12.75">
      <c r="B148" s="226"/>
      <c r="C148" s="227"/>
      <c r="D148" s="226"/>
      <c r="E148" s="227"/>
      <c r="F148" s="227"/>
    </row>
    <row r="149" spans="2:6" ht="12.75">
      <c r="B149" s="226"/>
      <c r="C149" s="227"/>
      <c r="D149" s="226"/>
      <c r="E149" s="227"/>
      <c r="F149" s="227"/>
    </row>
    <row r="150" spans="2:6" ht="12.75">
      <c r="B150" s="226"/>
      <c r="C150" s="227"/>
      <c r="D150" s="226"/>
      <c r="E150" s="227"/>
      <c r="F150" s="227"/>
    </row>
    <row r="151" spans="2:6" ht="12.75">
      <c r="B151" s="226"/>
      <c r="C151" s="227"/>
      <c r="D151" s="226"/>
      <c r="E151" s="227"/>
      <c r="F151" s="227"/>
    </row>
    <row r="152" spans="2:6" ht="12.75">
      <c r="B152" s="226"/>
      <c r="C152" s="227"/>
      <c r="D152" s="226"/>
      <c r="E152" s="227"/>
      <c r="F152" s="227"/>
    </row>
    <row r="153" spans="2:6" ht="12.75">
      <c r="B153" s="226"/>
      <c r="C153" s="227"/>
      <c r="D153" s="226"/>
      <c r="E153" s="227"/>
      <c r="F153" s="227"/>
    </row>
    <row r="154" spans="2:6" ht="12.75">
      <c r="B154" s="226"/>
      <c r="C154" s="227"/>
      <c r="D154" s="226"/>
      <c r="E154" s="227"/>
      <c r="F154" s="227"/>
    </row>
    <row r="155" spans="2:6" ht="12.75">
      <c r="B155" s="226"/>
      <c r="C155" s="227"/>
      <c r="D155" s="226"/>
      <c r="E155" s="227"/>
      <c r="F155" s="227"/>
    </row>
    <row r="156" spans="2:6" ht="12.75">
      <c r="B156" s="226"/>
      <c r="C156" s="227"/>
      <c r="D156" s="226"/>
      <c r="E156" s="227"/>
      <c r="F156" s="227"/>
    </row>
    <row r="157" spans="2:6" ht="12.75">
      <c r="B157" s="226"/>
      <c r="C157" s="227"/>
      <c r="D157" s="226"/>
      <c r="E157" s="227"/>
      <c r="F157" s="227"/>
    </row>
    <row r="158" spans="2:6" ht="12.75">
      <c r="B158" s="226"/>
      <c r="C158" s="227"/>
      <c r="D158" s="226"/>
      <c r="E158" s="227"/>
      <c r="F158" s="227"/>
    </row>
    <row r="159" spans="2:6" ht="12.75">
      <c r="B159" s="226"/>
      <c r="C159" s="227"/>
      <c r="D159" s="226"/>
      <c r="E159" s="227"/>
      <c r="F159" s="227"/>
    </row>
    <row r="160" spans="2:6" ht="12.75">
      <c r="B160" s="226"/>
      <c r="C160" s="227"/>
      <c r="D160" s="226"/>
      <c r="E160" s="227"/>
      <c r="F160" s="227"/>
    </row>
    <row r="161" spans="2:6" ht="12.75">
      <c r="B161" s="226"/>
      <c r="C161" s="227"/>
      <c r="D161" s="226"/>
      <c r="E161" s="227"/>
      <c r="F161" s="227"/>
    </row>
    <row r="162" spans="2:6" ht="12.75">
      <c r="B162" s="226"/>
      <c r="C162" s="227"/>
      <c r="D162" s="226"/>
      <c r="E162" s="227"/>
      <c r="F162" s="227"/>
    </row>
    <row r="163" spans="2:6" ht="12.75">
      <c r="B163" s="226"/>
      <c r="C163" s="227"/>
      <c r="D163" s="226"/>
      <c r="E163" s="227"/>
      <c r="F163" s="227"/>
    </row>
    <row r="164" spans="2:6" ht="12.75">
      <c r="B164" s="226"/>
      <c r="C164" s="227"/>
      <c r="D164" s="226"/>
      <c r="E164" s="227"/>
      <c r="F164" s="227"/>
    </row>
    <row r="165" spans="2:6" ht="12.75">
      <c r="B165" s="226"/>
      <c r="C165" s="227"/>
      <c r="D165" s="226"/>
      <c r="E165" s="227"/>
      <c r="F165" s="227"/>
    </row>
    <row r="166" spans="2:6" ht="12.75">
      <c r="B166" s="226"/>
      <c r="C166" s="227"/>
      <c r="D166" s="226"/>
      <c r="E166" s="227"/>
      <c r="F166" s="227"/>
    </row>
    <row r="167" spans="2:6" ht="12.75">
      <c r="B167" s="226"/>
      <c r="C167" s="227"/>
      <c r="D167" s="226"/>
      <c r="E167" s="227"/>
      <c r="F167" s="227"/>
    </row>
    <row r="168" spans="2:6" ht="12.75">
      <c r="B168" s="226"/>
      <c r="C168" s="227"/>
      <c r="D168" s="226"/>
      <c r="E168" s="227"/>
      <c r="F168" s="227"/>
    </row>
    <row r="169" spans="2:6" ht="12.75">
      <c r="B169" s="226"/>
      <c r="C169" s="227"/>
      <c r="D169" s="226"/>
      <c r="E169" s="227"/>
      <c r="F169" s="227"/>
    </row>
    <row r="170" spans="2:6" ht="12.75">
      <c r="B170" s="226"/>
      <c r="C170" s="227"/>
      <c r="D170" s="226"/>
      <c r="E170" s="227"/>
      <c r="F170" s="227"/>
    </row>
    <row r="171" spans="2:6" ht="12.75">
      <c r="B171" s="226"/>
      <c r="C171" s="227"/>
      <c r="D171" s="226"/>
      <c r="E171" s="227"/>
      <c r="F171" s="227"/>
    </row>
    <row r="172" spans="2:6" ht="12.75">
      <c r="B172" s="226"/>
      <c r="C172" s="227"/>
      <c r="D172" s="226"/>
      <c r="E172" s="227"/>
      <c r="F172" s="227"/>
    </row>
    <row r="173" spans="2:6" ht="12.75">
      <c r="B173" s="226"/>
      <c r="C173" s="227"/>
      <c r="D173" s="226"/>
      <c r="E173" s="227"/>
      <c r="F173" s="227"/>
    </row>
    <row r="174" spans="2:6" ht="12.75">
      <c r="B174" s="226"/>
      <c r="C174" s="227"/>
      <c r="D174" s="226"/>
      <c r="E174" s="227"/>
      <c r="F174" s="227"/>
    </row>
    <row r="175" spans="2:6" ht="12.75">
      <c r="B175" s="226"/>
      <c r="C175" s="227"/>
      <c r="D175" s="226"/>
      <c r="E175" s="227"/>
      <c r="F175" s="227"/>
    </row>
    <row r="176" spans="2:6" ht="12.75">
      <c r="B176" s="226"/>
      <c r="C176" s="227"/>
      <c r="D176" s="226"/>
      <c r="E176" s="227"/>
      <c r="F176" s="227"/>
    </row>
    <row r="177" spans="2:6" ht="12.75">
      <c r="B177" s="226"/>
      <c r="C177" s="227"/>
      <c r="D177" s="226"/>
      <c r="E177" s="227"/>
      <c r="F177" s="227"/>
    </row>
    <row r="178" spans="2:6" ht="12.75">
      <c r="B178" s="226"/>
      <c r="C178" s="227"/>
      <c r="D178" s="226"/>
      <c r="E178" s="227"/>
      <c r="F178" s="227"/>
    </row>
    <row r="179" spans="2:6" ht="12.75">
      <c r="B179" s="226"/>
      <c r="C179" s="227"/>
      <c r="D179" s="226"/>
      <c r="E179" s="227"/>
      <c r="F179" s="227"/>
    </row>
    <row r="180" spans="2:6" ht="12.75">
      <c r="B180" s="226"/>
      <c r="C180" s="227"/>
      <c r="D180" s="226"/>
      <c r="E180" s="227"/>
      <c r="F180" s="227"/>
    </row>
    <row r="181" spans="2:6" ht="12.75">
      <c r="B181" s="226"/>
      <c r="C181" s="227"/>
      <c r="D181" s="226"/>
      <c r="E181" s="227"/>
      <c r="F181" s="227"/>
    </row>
    <row r="182" spans="2:6" ht="12.75">
      <c r="B182" s="226"/>
      <c r="C182" s="227"/>
      <c r="D182" s="226"/>
      <c r="E182" s="227"/>
      <c r="F182" s="227"/>
    </row>
    <row r="183" spans="2:6" ht="12.75">
      <c r="B183" s="226"/>
      <c r="C183" s="227"/>
      <c r="D183" s="226"/>
      <c r="E183" s="227"/>
      <c r="F183" s="227"/>
    </row>
    <row r="184" spans="2:6" ht="12.75">
      <c r="B184" s="226"/>
      <c r="C184" s="227"/>
      <c r="D184" s="226"/>
      <c r="E184" s="227"/>
      <c r="F184" s="227"/>
    </row>
    <row r="185" spans="2:6" ht="12.75">
      <c r="B185" s="226"/>
      <c r="C185" s="227"/>
      <c r="D185" s="226"/>
      <c r="E185" s="227"/>
      <c r="F185" s="227"/>
    </row>
    <row r="186" spans="2:6" ht="12.75">
      <c r="B186" s="226"/>
      <c r="C186" s="227"/>
      <c r="D186" s="226"/>
      <c r="E186" s="227"/>
      <c r="F186" s="227"/>
    </row>
    <row r="187" spans="2:6" ht="12.75">
      <c r="B187" s="226"/>
      <c r="C187" s="227"/>
      <c r="D187" s="226"/>
      <c r="E187" s="227"/>
      <c r="F187" s="227"/>
    </row>
    <row r="188" spans="2:6" ht="12.75">
      <c r="B188" s="226"/>
      <c r="C188" s="227"/>
      <c r="D188" s="226"/>
      <c r="E188" s="227"/>
      <c r="F188" s="227"/>
    </row>
    <row r="189" spans="2:6" ht="12.75">
      <c r="B189" s="226"/>
      <c r="C189" s="227"/>
      <c r="D189" s="226"/>
      <c r="E189" s="227"/>
      <c r="F189" s="227"/>
    </row>
    <row r="190" spans="2:6" ht="12.75">
      <c r="B190" s="226"/>
      <c r="C190" s="227"/>
      <c r="D190" s="226"/>
      <c r="E190" s="227"/>
      <c r="F190" s="227"/>
    </row>
    <row r="191" spans="2:6" ht="12.75">
      <c r="B191" s="226"/>
      <c r="C191" s="227"/>
      <c r="D191" s="226"/>
      <c r="E191" s="227"/>
      <c r="F191" s="227"/>
    </row>
    <row r="192" spans="2:6" ht="12.75">
      <c r="B192" s="226"/>
      <c r="C192" s="227"/>
      <c r="D192" s="226"/>
      <c r="E192" s="227"/>
      <c r="F192" s="227"/>
    </row>
    <row r="193" spans="2:6" ht="12.75">
      <c r="B193" s="226"/>
      <c r="C193" s="227"/>
      <c r="D193" s="226"/>
      <c r="E193" s="227"/>
      <c r="F193" s="227"/>
    </row>
    <row r="194" spans="2:6" ht="12.75">
      <c r="B194" s="226"/>
      <c r="C194" s="227"/>
      <c r="D194" s="226"/>
      <c r="E194" s="227"/>
      <c r="F194" s="227"/>
    </row>
    <row r="195" spans="2:6" ht="12.75">
      <c r="B195" s="226"/>
      <c r="C195" s="227"/>
      <c r="D195" s="226"/>
      <c r="E195" s="227"/>
      <c r="F195" s="227"/>
    </row>
    <row r="196" spans="2:6" ht="12.75">
      <c r="B196" s="226"/>
      <c r="C196" s="227"/>
      <c r="D196" s="226"/>
      <c r="E196" s="227"/>
      <c r="F196" s="227"/>
    </row>
    <row r="197" spans="2:6" ht="12.75">
      <c r="B197" s="226"/>
      <c r="C197" s="227"/>
      <c r="D197" s="226"/>
      <c r="E197" s="227"/>
      <c r="F197" s="227"/>
    </row>
    <row r="198" spans="2:6" ht="12.75">
      <c r="B198" s="226"/>
      <c r="C198" s="227"/>
      <c r="D198" s="226"/>
      <c r="E198" s="227"/>
      <c r="F198" s="227"/>
    </row>
    <row r="199" spans="2:6" ht="12.75">
      <c r="B199" s="226"/>
      <c r="C199" s="227"/>
      <c r="D199" s="226"/>
      <c r="E199" s="227"/>
      <c r="F199" s="227"/>
    </row>
    <row r="200" spans="2:6" ht="12.75">
      <c r="B200" s="226"/>
      <c r="C200" s="227"/>
      <c r="D200" s="226"/>
      <c r="E200" s="227"/>
      <c r="F200" s="227"/>
    </row>
    <row r="201" spans="2:6" ht="12.75">
      <c r="B201" s="226"/>
      <c r="C201" s="227"/>
      <c r="D201" s="226"/>
      <c r="E201" s="227"/>
      <c r="F201" s="227"/>
    </row>
    <row r="202" spans="2:6" ht="12.75">
      <c r="B202" s="226"/>
      <c r="C202" s="227"/>
      <c r="D202" s="226"/>
      <c r="E202" s="227"/>
      <c r="F202" s="227"/>
    </row>
    <row r="203" spans="2:6" ht="12.75">
      <c r="B203" s="226"/>
      <c r="C203" s="227"/>
      <c r="D203" s="226"/>
      <c r="E203" s="227"/>
      <c r="F203" s="227"/>
    </row>
    <row r="204" spans="2:6" ht="12.75">
      <c r="B204" s="226"/>
      <c r="C204" s="227"/>
      <c r="D204" s="226"/>
      <c r="E204" s="227"/>
      <c r="F204" s="227"/>
    </row>
    <row r="205" spans="2:6" ht="12.75">
      <c r="B205" s="226"/>
      <c r="C205" s="227"/>
      <c r="D205" s="226"/>
      <c r="E205" s="227"/>
      <c r="F205" s="227"/>
    </row>
    <row r="206" spans="2:6" ht="12.75">
      <c r="B206" s="226"/>
      <c r="C206" s="227"/>
      <c r="D206" s="226"/>
      <c r="E206" s="227"/>
      <c r="F206" s="227"/>
    </row>
    <row r="207" spans="2:6" ht="12.75">
      <c r="B207" s="226"/>
      <c r="C207" s="227"/>
      <c r="D207" s="226"/>
      <c r="E207" s="227"/>
      <c r="F207" s="227"/>
    </row>
    <row r="208" spans="2:6" ht="12.75">
      <c r="B208" s="226"/>
      <c r="C208" s="227"/>
      <c r="D208" s="226"/>
      <c r="E208" s="227"/>
      <c r="F208" s="227"/>
    </row>
    <row r="209" spans="2:6" ht="12.75">
      <c r="B209" s="226"/>
      <c r="C209" s="227"/>
      <c r="D209" s="226"/>
      <c r="E209" s="227"/>
      <c r="F209" s="227"/>
    </row>
    <row r="210" spans="2:6" ht="12.75">
      <c r="B210" s="226"/>
      <c r="C210" s="227"/>
      <c r="D210" s="226"/>
      <c r="E210" s="227"/>
      <c r="F210" s="227"/>
    </row>
    <row r="211" spans="2:6" ht="12.75">
      <c r="B211" s="226"/>
      <c r="C211" s="227"/>
      <c r="D211" s="226"/>
      <c r="E211" s="227"/>
      <c r="F211" s="227"/>
    </row>
    <row r="212" spans="2:6" ht="12.75">
      <c r="B212" s="226"/>
      <c r="C212" s="227"/>
      <c r="D212" s="226"/>
      <c r="E212" s="227"/>
      <c r="F212" s="227"/>
    </row>
    <row r="213" spans="2:6" ht="12.75">
      <c r="B213" s="226"/>
      <c r="C213" s="227"/>
      <c r="D213" s="226"/>
      <c r="E213" s="227"/>
      <c r="F213" s="227"/>
    </row>
    <row r="214" spans="2:6" ht="12.75">
      <c r="B214" s="226"/>
      <c r="C214" s="227"/>
      <c r="D214" s="226"/>
      <c r="E214" s="227"/>
      <c r="F214" s="227"/>
    </row>
    <row r="215" spans="2:6" ht="12.75">
      <c r="B215" s="226"/>
      <c r="C215" s="227"/>
      <c r="D215" s="226"/>
      <c r="E215" s="227"/>
      <c r="F215" s="227"/>
    </row>
    <row r="216" spans="2:6" ht="12.75">
      <c r="B216" s="226"/>
      <c r="C216" s="227"/>
      <c r="D216" s="226"/>
      <c r="E216" s="227"/>
      <c r="F216" s="227"/>
    </row>
    <row r="217" spans="2:6" ht="12.75">
      <c r="B217" s="226"/>
      <c r="C217" s="227"/>
      <c r="D217" s="226"/>
      <c r="E217" s="227"/>
      <c r="F217" s="227"/>
    </row>
    <row r="218" spans="2:6" ht="12.75">
      <c r="B218" s="226"/>
      <c r="C218" s="227"/>
      <c r="D218" s="226"/>
      <c r="E218" s="227"/>
      <c r="F218" s="227"/>
    </row>
    <row r="219" spans="2:6" ht="12.75">
      <c r="B219" s="226"/>
      <c r="C219" s="227"/>
      <c r="D219" s="226"/>
      <c r="E219" s="227"/>
      <c r="F219" s="227"/>
    </row>
    <row r="220" spans="2:6" ht="12.75">
      <c r="B220" s="226"/>
      <c r="C220" s="227"/>
      <c r="D220" s="226"/>
      <c r="E220" s="227"/>
      <c r="F220" s="227"/>
    </row>
    <row r="221" spans="2:6" ht="12.75">
      <c r="B221" s="226"/>
      <c r="C221" s="227"/>
      <c r="D221" s="226"/>
      <c r="E221" s="227"/>
      <c r="F221" s="227"/>
    </row>
    <row r="222" spans="2:6" ht="12.75">
      <c r="B222" s="226"/>
      <c r="C222" s="227"/>
      <c r="D222" s="226"/>
      <c r="E222" s="227"/>
      <c r="F222" s="227"/>
    </row>
    <row r="223" spans="2:6" ht="12.75">
      <c r="B223" s="226"/>
      <c r="C223" s="227"/>
      <c r="D223" s="226"/>
      <c r="E223" s="227"/>
      <c r="F223" s="227"/>
    </row>
    <row r="224" spans="2:6" ht="12.75">
      <c r="B224" s="226"/>
      <c r="C224" s="227"/>
      <c r="D224" s="226"/>
      <c r="E224" s="227"/>
      <c r="F224" s="227"/>
    </row>
    <row r="225" spans="2:6" ht="12.75">
      <c r="B225" s="226"/>
      <c r="C225" s="227"/>
      <c r="D225" s="226"/>
      <c r="E225" s="227"/>
      <c r="F225" s="227"/>
    </row>
    <row r="226" spans="2:6" ht="12.75">
      <c r="B226" s="226"/>
      <c r="C226" s="227"/>
      <c r="D226" s="226"/>
      <c r="E226" s="227"/>
      <c r="F226" s="227"/>
    </row>
    <row r="227" spans="2:6" ht="12.75">
      <c r="B227" s="226"/>
      <c r="C227" s="227"/>
      <c r="D227" s="226"/>
      <c r="E227" s="227"/>
      <c r="F227" s="227"/>
    </row>
    <row r="228" spans="2:6" ht="12.75">
      <c r="B228" s="226"/>
      <c r="C228" s="227"/>
      <c r="D228" s="226"/>
      <c r="E228" s="227"/>
      <c r="F228" s="227"/>
    </row>
    <row r="229" spans="2:6" ht="12.75">
      <c r="B229" s="226"/>
      <c r="C229" s="227"/>
      <c r="D229" s="226"/>
      <c r="E229" s="227"/>
      <c r="F229" s="227"/>
    </row>
    <row r="230" spans="2:6" ht="12.75">
      <c r="B230" s="226"/>
      <c r="C230" s="227"/>
      <c r="D230" s="226"/>
      <c r="E230" s="227"/>
      <c r="F230" s="227"/>
    </row>
    <row r="231" spans="2:6" ht="12.75">
      <c r="B231" s="226"/>
      <c r="C231" s="227"/>
      <c r="D231" s="226"/>
      <c r="E231" s="227"/>
      <c r="F231" s="227"/>
    </row>
    <row r="232" spans="2:6" ht="12.75">
      <c r="B232" s="226"/>
      <c r="C232" s="227"/>
      <c r="D232" s="226"/>
      <c r="E232" s="227"/>
      <c r="F232" s="227"/>
    </row>
    <row r="233" spans="2:6" ht="12.75">
      <c r="B233" s="226"/>
      <c r="C233" s="227"/>
      <c r="D233" s="226"/>
      <c r="E233" s="227"/>
      <c r="F233" s="227"/>
    </row>
    <row r="234" spans="2:6" ht="12.75">
      <c r="B234" s="226"/>
      <c r="C234" s="227"/>
      <c r="D234" s="226"/>
      <c r="E234" s="227"/>
      <c r="F234" s="227"/>
    </row>
    <row r="235" spans="2:6" ht="12.75">
      <c r="B235" s="226"/>
      <c r="C235" s="227"/>
      <c r="D235" s="226"/>
      <c r="E235" s="227"/>
      <c r="F235" s="227"/>
    </row>
    <row r="236" spans="2:6" ht="12.75">
      <c r="B236" s="226"/>
      <c r="C236" s="227"/>
      <c r="D236" s="226"/>
      <c r="E236" s="227"/>
      <c r="F236" s="227"/>
    </row>
    <row r="237" spans="2:6" ht="12.75">
      <c r="B237" s="226"/>
      <c r="C237" s="227"/>
      <c r="D237" s="226"/>
      <c r="E237" s="227"/>
      <c r="F237" s="227"/>
    </row>
    <row r="238" spans="2:6" ht="12.75">
      <c r="B238" s="226"/>
      <c r="C238" s="227"/>
      <c r="D238" s="226"/>
      <c r="E238" s="227"/>
      <c r="F238" s="227"/>
    </row>
    <row r="239" spans="2:6" ht="12.75">
      <c r="B239" s="226"/>
      <c r="C239" s="227"/>
      <c r="D239" s="226"/>
      <c r="E239" s="227"/>
      <c r="F239" s="227"/>
    </row>
    <row r="240" spans="2:6" ht="12.75">
      <c r="B240" s="226"/>
      <c r="C240" s="227"/>
      <c r="D240" s="226"/>
      <c r="E240" s="227"/>
      <c r="F240" s="227"/>
    </row>
    <row r="241" spans="2:6" ht="12.75">
      <c r="B241" s="226"/>
      <c r="C241" s="227"/>
      <c r="D241" s="226"/>
      <c r="E241" s="227"/>
      <c r="F241" s="227"/>
    </row>
    <row r="242" spans="2:6" ht="12.75">
      <c r="B242" s="226"/>
      <c r="C242" s="227"/>
      <c r="D242" s="226"/>
      <c r="E242" s="227"/>
      <c r="F242" s="227"/>
    </row>
    <row r="243" spans="2:6" ht="12.75">
      <c r="B243" s="226"/>
      <c r="C243" s="227"/>
      <c r="D243" s="226"/>
      <c r="E243" s="227"/>
      <c r="F243" s="227"/>
    </row>
    <row r="244" spans="2:6" ht="12.75">
      <c r="B244" s="226"/>
      <c r="C244" s="227"/>
      <c r="D244" s="226"/>
      <c r="E244" s="227"/>
      <c r="F244" s="227"/>
    </row>
    <row r="245" spans="2:6" ht="12.75">
      <c r="B245" s="226"/>
      <c r="C245" s="227"/>
      <c r="D245" s="226"/>
      <c r="E245" s="227"/>
      <c r="F245" s="227"/>
    </row>
    <row r="246" spans="2:6" ht="12.75">
      <c r="B246" s="226"/>
      <c r="C246" s="227"/>
      <c r="D246" s="226"/>
      <c r="E246" s="227"/>
      <c r="F246" s="227"/>
    </row>
    <row r="247" spans="2:6" ht="12.75">
      <c r="B247" s="226"/>
      <c r="C247" s="227"/>
      <c r="D247" s="226"/>
      <c r="E247" s="227"/>
      <c r="F247" s="227"/>
    </row>
    <row r="248" spans="2:6" ht="12.75">
      <c r="B248" s="226"/>
      <c r="C248" s="227"/>
      <c r="D248" s="226"/>
      <c r="E248" s="227"/>
      <c r="F248" s="227"/>
    </row>
    <row r="249" spans="2:6" ht="12.75">
      <c r="B249" s="226"/>
      <c r="C249" s="227"/>
      <c r="D249" s="226"/>
      <c r="E249" s="227"/>
      <c r="F249" s="227"/>
    </row>
    <row r="250" spans="2:6" ht="12.75">
      <c r="B250" s="226"/>
      <c r="C250" s="227"/>
      <c r="D250" s="226"/>
      <c r="E250" s="227"/>
      <c r="F250" s="227"/>
    </row>
    <row r="251" spans="2:6" ht="12.75">
      <c r="B251" s="226"/>
      <c r="C251" s="227"/>
      <c r="D251" s="226"/>
      <c r="E251" s="227"/>
      <c r="F251" s="227"/>
    </row>
    <row r="252" spans="2:6" ht="12.75">
      <c r="B252" s="226"/>
      <c r="C252" s="227"/>
      <c r="D252" s="226"/>
      <c r="E252" s="227"/>
      <c r="F252" s="227"/>
    </row>
    <row r="253" spans="2:6" ht="12.75">
      <c r="B253" s="226"/>
      <c r="C253" s="227"/>
      <c r="D253" s="226"/>
      <c r="E253" s="227"/>
      <c r="F253" s="227"/>
    </row>
    <row r="254" spans="2:6" ht="12.75">
      <c r="B254" s="226"/>
      <c r="C254" s="227"/>
      <c r="D254" s="226"/>
      <c r="E254" s="227"/>
      <c r="F254" s="227"/>
    </row>
    <row r="255" spans="2:6" ht="12.75">
      <c r="B255" s="226"/>
      <c r="C255" s="227"/>
      <c r="D255" s="226"/>
      <c r="E255" s="227"/>
      <c r="F255" s="227"/>
    </row>
    <row r="256" spans="2:6" ht="12.75">
      <c r="B256" s="226"/>
      <c r="C256" s="227"/>
      <c r="D256" s="226"/>
      <c r="E256" s="227"/>
      <c r="F256" s="227"/>
    </row>
    <row r="257" spans="2:6" ht="12.75">
      <c r="B257" s="226"/>
      <c r="C257" s="227"/>
      <c r="D257" s="226"/>
      <c r="E257" s="227"/>
      <c r="F257" s="227"/>
    </row>
    <row r="258" spans="2:6" ht="12.75">
      <c r="B258" s="226"/>
      <c r="C258" s="227"/>
      <c r="D258" s="226"/>
      <c r="E258" s="227"/>
      <c r="F258" s="227"/>
    </row>
    <row r="259" spans="2:6" ht="12.75">
      <c r="B259" s="226"/>
      <c r="C259" s="227"/>
      <c r="D259" s="226"/>
      <c r="E259" s="227"/>
      <c r="F259" s="227"/>
    </row>
    <row r="260" spans="2:6" ht="12.75">
      <c r="B260" s="226"/>
      <c r="C260" s="227"/>
      <c r="D260" s="226"/>
      <c r="E260" s="227"/>
      <c r="F260" s="227"/>
    </row>
    <row r="261" spans="2:6" ht="12.75">
      <c r="B261" s="226"/>
      <c r="C261" s="227"/>
      <c r="D261" s="226"/>
      <c r="E261" s="227"/>
      <c r="F261" s="227"/>
    </row>
    <row r="262" spans="2:6" ht="12.75">
      <c r="B262" s="226"/>
      <c r="C262" s="227"/>
      <c r="D262" s="226"/>
      <c r="E262" s="227"/>
      <c r="F262" s="227"/>
    </row>
    <row r="263" spans="2:6" ht="12.75">
      <c r="B263" s="226"/>
      <c r="C263" s="227"/>
      <c r="D263" s="226"/>
      <c r="E263" s="227"/>
      <c r="F263" s="227"/>
    </row>
    <row r="264" spans="2:6" ht="12.75">
      <c r="B264" s="226"/>
      <c r="C264" s="227"/>
      <c r="D264" s="226"/>
      <c r="E264" s="227"/>
      <c r="F264" s="227"/>
    </row>
    <row r="265" spans="2:6" ht="12.75">
      <c r="B265" s="226"/>
      <c r="C265" s="227"/>
      <c r="D265" s="226"/>
      <c r="E265" s="227"/>
      <c r="F265" s="227"/>
    </row>
    <row r="266" spans="2:6" ht="12.75">
      <c r="B266" s="226"/>
      <c r="C266" s="227"/>
      <c r="D266" s="226"/>
      <c r="E266" s="227"/>
      <c r="F266" s="227"/>
    </row>
    <row r="267" spans="2:6" ht="12.75">
      <c r="B267" s="226"/>
      <c r="C267" s="227"/>
      <c r="D267" s="226"/>
      <c r="E267" s="227"/>
      <c r="F267" s="227"/>
    </row>
    <row r="268" spans="2:6" ht="12.75">
      <c r="B268" s="226"/>
      <c r="C268" s="227"/>
      <c r="D268" s="226"/>
      <c r="E268" s="227"/>
      <c r="F268" s="227"/>
    </row>
    <row r="269" spans="2:6" ht="12.75">
      <c r="B269" s="226"/>
      <c r="C269" s="227"/>
      <c r="D269" s="226"/>
      <c r="E269" s="227"/>
      <c r="F269" s="227"/>
    </row>
    <row r="270" spans="2:6" ht="12.75">
      <c r="B270" s="226"/>
      <c r="C270" s="227"/>
      <c r="D270" s="226"/>
      <c r="E270" s="227"/>
      <c r="F270" s="227"/>
    </row>
    <row r="271" spans="2:6" ht="12.75">
      <c r="B271" s="226"/>
      <c r="C271" s="227"/>
      <c r="D271" s="226"/>
      <c r="E271" s="227"/>
      <c r="F271" s="227"/>
    </row>
    <row r="272" spans="2:6" ht="12.75">
      <c r="B272" s="226"/>
      <c r="C272" s="227"/>
      <c r="D272" s="226"/>
      <c r="E272" s="227"/>
      <c r="F272" s="227"/>
    </row>
    <row r="273" spans="2:6" ht="12.75">
      <c r="B273" s="226"/>
      <c r="C273" s="227"/>
      <c r="D273" s="226"/>
      <c r="E273" s="227"/>
      <c r="F273" s="227"/>
    </row>
    <row r="274" spans="2:6" ht="12.75">
      <c r="B274" s="226"/>
      <c r="C274" s="227"/>
      <c r="D274" s="226"/>
      <c r="E274" s="227"/>
      <c r="F274" s="227"/>
    </row>
    <row r="275" spans="2:6" ht="12.75">
      <c r="B275" s="226"/>
      <c r="C275" s="227"/>
      <c r="D275" s="226"/>
      <c r="E275" s="227"/>
      <c r="F275" s="227"/>
    </row>
    <row r="276" spans="2:6" ht="12.75">
      <c r="B276" s="226"/>
      <c r="C276" s="227"/>
      <c r="D276" s="226"/>
      <c r="E276" s="227"/>
      <c r="F276" s="227"/>
    </row>
    <row r="277" spans="2:6" ht="12.75">
      <c r="B277" s="226"/>
      <c r="C277" s="227"/>
      <c r="D277" s="226"/>
      <c r="E277" s="227"/>
      <c r="F277" s="227"/>
    </row>
    <row r="278" spans="2:6" ht="12.75">
      <c r="B278" s="226"/>
      <c r="C278" s="227"/>
      <c r="D278" s="226"/>
      <c r="E278" s="227"/>
      <c r="F278" s="227"/>
    </row>
    <row r="279" spans="2:6" ht="12.75">
      <c r="B279" s="226"/>
      <c r="C279" s="227"/>
      <c r="D279" s="226"/>
      <c r="E279" s="227"/>
      <c r="F279" s="227"/>
    </row>
    <row r="280" spans="2:6" ht="12.75">
      <c r="B280" s="226"/>
      <c r="C280" s="227"/>
      <c r="D280" s="226"/>
      <c r="E280" s="227"/>
      <c r="F280" s="227"/>
    </row>
    <row r="281" spans="2:6" ht="12.75">
      <c r="B281" s="226"/>
      <c r="C281" s="227"/>
      <c r="D281" s="226"/>
      <c r="E281" s="227"/>
      <c r="F281" s="227"/>
    </row>
    <row r="282" spans="2:6" ht="12.75">
      <c r="B282" s="226"/>
      <c r="C282" s="227"/>
      <c r="D282" s="226"/>
      <c r="E282" s="227"/>
      <c r="F282" s="227"/>
    </row>
    <row r="283" spans="2:6" ht="12.75">
      <c r="B283" s="226"/>
      <c r="C283" s="227"/>
      <c r="D283" s="226"/>
      <c r="E283" s="227"/>
      <c r="F283" s="227"/>
    </row>
    <row r="284" spans="2:6" ht="12.75">
      <c r="B284" s="226"/>
      <c r="C284" s="227"/>
      <c r="D284" s="226"/>
      <c r="E284" s="227"/>
      <c r="F284" s="227"/>
    </row>
    <row r="285" spans="2:6" ht="12.75">
      <c r="B285" s="226"/>
      <c r="C285" s="227"/>
      <c r="D285" s="226"/>
      <c r="E285" s="227"/>
      <c r="F285" s="227"/>
    </row>
    <row r="286" spans="2:6" ht="12.75">
      <c r="B286" s="226"/>
      <c r="C286" s="227"/>
      <c r="D286" s="226"/>
      <c r="E286" s="227"/>
      <c r="F286" s="227"/>
    </row>
    <row r="287" spans="2:6" ht="12.75">
      <c r="B287" s="226"/>
      <c r="C287" s="227"/>
      <c r="D287" s="226"/>
      <c r="E287" s="227"/>
      <c r="F287" s="227"/>
    </row>
    <row r="288" spans="2:6" ht="12.75">
      <c r="B288" s="226"/>
      <c r="C288" s="227"/>
      <c r="D288" s="226"/>
      <c r="E288" s="227"/>
      <c r="F288" s="227"/>
    </row>
    <row r="289" spans="2:6" ht="12.75">
      <c r="B289" s="226"/>
      <c r="C289" s="227"/>
      <c r="D289" s="226"/>
      <c r="E289" s="227"/>
      <c r="F289" s="227"/>
    </row>
    <row r="290" spans="2:6" ht="12.75">
      <c r="B290" s="226"/>
      <c r="C290" s="227"/>
      <c r="D290" s="226"/>
      <c r="E290" s="227"/>
      <c r="F290" s="227"/>
    </row>
    <row r="291" spans="2:6" ht="12.75">
      <c r="B291" s="226"/>
      <c r="C291" s="227"/>
      <c r="D291" s="226"/>
      <c r="E291" s="227"/>
      <c r="F291" s="227"/>
    </row>
    <row r="292" spans="2:6" ht="12.75">
      <c r="B292" s="226"/>
      <c r="C292" s="227"/>
      <c r="D292" s="226"/>
      <c r="E292" s="227"/>
      <c r="F292" s="227"/>
    </row>
    <row r="293" spans="2:6" ht="12.75">
      <c r="B293" s="226"/>
      <c r="C293" s="227"/>
      <c r="D293" s="226"/>
      <c r="E293" s="227"/>
      <c r="F293" s="227"/>
    </row>
    <row r="294" spans="2:6" ht="12.75">
      <c r="B294" s="226"/>
      <c r="C294" s="227"/>
      <c r="D294" s="226"/>
      <c r="E294" s="227"/>
      <c r="F294" s="227"/>
    </row>
    <row r="295" spans="2:6" ht="12.75">
      <c r="B295" s="226"/>
      <c r="C295" s="227"/>
      <c r="D295" s="226"/>
      <c r="E295" s="227"/>
      <c r="F295" s="227"/>
    </row>
    <row r="296" spans="2:6" ht="12.75">
      <c r="B296" s="226"/>
      <c r="C296" s="227"/>
      <c r="D296" s="226"/>
      <c r="E296" s="227"/>
      <c r="F296" s="227"/>
    </row>
    <row r="297" spans="2:6" ht="12.75">
      <c r="B297" s="226"/>
      <c r="C297" s="227"/>
      <c r="D297" s="226"/>
      <c r="E297" s="227"/>
      <c r="F297" s="227"/>
    </row>
    <row r="298" spans="2:6" ht="12.75">
      <c r="B298" s="226"/>
      <c r="C298" s="227"/>
      <c r="D298" s="226"/>
      <c r="E298" s="227"/>
      <c r="F298" s="227"/>
    </row>
    <row r="299" spans="2:6" ht="12.75">
      <c r="B299" s="226"/>
      <c r="C299" s="227"/>
      <c r="D299" s="226"/>
      <c r="E299" s="227"/>
      <c r="F299" s="227"/>
    </row>
    <row r="300" spans="2:6" ht="12.75">
      <c r="B300" s="226"/>
      <c r="C300" s="227"/>
      <c r="D300" s="226"/>
      <c r="E300" s="227"/>
      <c r="F300" s="227"/>
    </row>
    <row r="301" spans="2:6" ht="12.75">
      <c r="B301" s="226"/>
      <c r="C301" s="227"/>
      <c r="D301" s="226"/>
      <c r="E301" s="227"/>
      <c r="F301" s="227"/>
    </row>
    <row r="302" spans="2:6" ht="12.75">
      <c r="B302" s="226"/>
      <c r="C302" s="227"/>
      <c r="D302" s="226"/>
      <c r="E302" s="227"/>
      <c r="F302" s="227"/>
    </row>
    <row r="303" spans="2:6" ht="12.75">
      <c r="B303" s="226"/>
      <c r="C303" s="227"/>
      <c r="D303" s="226"/>
      <c r="E303" s="227"/>
      <c r="F303" s="227"/>
    </row>
    <row r="304" spans="2:6" ht="12.75">
      <c r="B304" s="226"/>
      <c r="C304" s="227"/>
      <c r="D304" s="226"/>
      <c r="E304" s="227"/>
      <c r="F304" s="227"/>
    </row>
    <row r="305" spans="2:6" ht="12.75">
      <c r="B305" s="226"/>
      <c r="C305" s="227"/>
      <c r="D305" s="226"/>
      <c r="E305" s="227"/>
      <c r="F305" s="227"/>
    </row>
    <row r="306" spans="2:6" ht="12.75">
      <c r="B306" s="226"/>
      <c r="C306" s="227"/>
      <c r="D306" s="226"/>
      <c r="E306" s="227"/>
      <c r="F306" s="227"/>
    </row>
    <row r="307" spans="2:6" ht="12.75">
      <c r="B307" s="226"/>
      <c r="C307" s="227"/>
      <c r="D307" s="226"/>
      <c r="E307" s="227"/>
      <c r="F307" s="227"/>
    </row>
    <row r="308" spans="2:6" ht="12.75">
      <c r="B308" s="226"/>
      <c r="C308" s="227"/>
      <c r="D308" s="226"/>
      <c r="E308" s="227"/>
      <c r="F308" s="227"/>
    </row>
    <row r="309" spans="2:6" ht="12.75">
      <c r="B309" s="226"/>
      <c r="C309" s="227"/>
      <c r="D309" s="226"/>
      <c r="E309" s="227"/>
      <c r="F309" s="227"/>
    </row>
    <row r="310" spans="2:6" ht="12.75">
      <c r="B310" s="226"/>
      <c r="C310" s="227"/>
      <c r="D310" s="226"/>
      <c r="E310" s="227"/>
      <c r="F310" s="227"/>
    </row>
    <row r="311" spans="2:6" ht="12.75">
      <c r="B311" s="226"/>
      <c r="C311" s="227"/>
      <c r="D311" s="226"/>
      <c r="E311" s="227"/>
      <c r="F311" s="227"/>
    </row>
    <row r="312" spans="2:6" ht="12.75">
      <c r="B312" s="226"/>
      <c r="C312" s="227"/>
      <c r="D312" s="226"/>
      <c r="E312" s="227"/>
      <c r="F312" s="227"/>
    </row>
    <row r="313" spans="2:6" ht="12.75">
      <c r="B313" s="226"/>
      <c r="C313" s="227"/>
      <c r="D313" s="226"/>
      <c r="E313" s="227"/>
      <c r="F313" s="227"/>
    </row>
    <row r="314" spans="2:6" ht="12.75">
      <c r="B314" s="226"/>
      <c r="C314" s="227"/>
      <c r="D314" s="226"/>
      <c r="E314" s="227"/>
      <c r="F314" s="227"/>
    </row>
    <row r="315" spans="2:6" ht="12.75">
      <c r="B315" s="226"/>
      <c r="C315" s="227"/>
      <c r="D315" s="226"/>
      <c r="E315" s="227"/>
      <c r="F315" s="227"/>
    </row>
    <row r="316" spans="2:6" ht="12.75">
      <c r="B316" s="226"/>
      <c r="C316" s="227"/>
      <c r="D316" s="226"/>
      <c r="E316" s="227"/>
      <c r="F316" s="227"/>
    </row>
    <row r="317" spans="2:6" ht="12.75">
      <c r="B317" s="226"/>
      <c r="C317" s="227"/>
      <c r="D317" s="226"/>
      <c r="E317" s="227"/>
      <c r="F317" s="227"/>
    </row>
    <row r="318" spans="2:6" ht="12.75">
      <c r="B318" s="226"/>
      <c r="C318" s="227"/>
      <c r="D318" s="226"/>
      <c r="E318" s="227"/>
      <c r="F318" s="227"/>
    </row>
    <row r="319" spans="2:6" ht="12.75">
      <c r="B319" s="226"/>
      <c r="C319" s="227"/>
      <c r="D319" s="226"/>
      <c r="E319" s="227"/>
      <c r="F319" s="227"/>
    </row>
    <row r="320" spans="2:6" ht="12.75">
      <c r="B320" s="226"/>
      <c r="C320" s="227"/>
      <c r="D320" s="226"/>
      <c r="E320" s="227"/>
      <c r="F320" s="227"/>
    </row>
    <row r="321" spans="2:6" ht="12.75">
      <c r="B321" s="226"/>
      <c r="C321" s="227"/>
      <c r="D321" s="226"/>
      <c r="E321" s="227"/>
      <c r="F321" s="227"/>
    </row>
    <row r="322" spans="2:6" ht="12.75">
      <c r="B322" s="226"/>
      <c r="C322" s="227"/>
      <c r="D322" s="226"/>
      <c r="E322" s="227"/>
      <c r="F322" s="227"/>
    </row>
    <row r="323" spans="2:6" ht="12.75">
      <c r="B323" s="226"/>
      <c r="C323" s="227"/>
      <c r="D323" s="226"/>
      <c r="E323" s="227"/>
      <c r="F323" s="227"/>
    </row>
    <row r="324" spans="2:6" ht="12.75">
      <c r="B324" s="226"/>
      <c r="C324" s="227"/>
      <c r="D324" s="226"/>
      <c r="E324" s="227"/>
      <c r="F324" s="227"/>
    </row>
    <row r="325" spans="2:6" ht="12.75">
      <c r="B325" s="226"/>
      <c r="C325" s="227"/>
      <c r="D325" s="226"/>
      <c r="E325" s="227"/>
      <c r="F325" s="227"/>
    </row>
    <row r="326" spans="2:6" ht="12.75">
      <c r="B326" s="226"/>
      <c r="C326" s="227"/>
      <c r="D326" s="226"/>
      <c r="E326" s="227"/>
      <c r="F326" s="227"/>
    </row>
    <row r="327" spans="2:6" ht="12.75">
      <c r="B327" s="226"/>
      <c r="C327" s="227"/>
      <c r="D327" s="226"/>
      <c r="E327" s="227"/>
      <c r="F327" s="227"/>
    </row>
    <row r="328" spans="2:6" ht="12.75">
      <c r="B328" s="226"/>
      <c r="C328" s="227"/>
      <c r="D328" s="226"/>
      <c r="E328" s="227"/>
      <c r="F328" s="227"/>
    </row>
    <row r="329" spans="2:6" ht="12.75">
      <c r="B329" s="226"/>
      <c r="C329" s="227"/>
      <c r="D329" s="226"/>
      <c r="E329" s="227"/>
      <c r="F329" s="227"/>
    </row>
    <row r="330" spans="2:6" ht="12.75">
      <c r="B330" s="226"/>
      <c r="C330" s="227"/>
      <c r="D330" s="226"/>
      <c r="E330" s="227"/>
      <c r="F330" s="227"/>
    </row>
    <row r="331" spans="2:6" ht="12.75">
      <c r="B331" s="226"/>
      <c r="C331" s="227"/>
      <c r="D331" s="226"/>
      <c r="E331" s="227"/>
      <c r="F331" s="227"/>
    </row>
    <row r="332" spans="2:6" ht="12.75">
      <c r="B332" s="226"/>
      <c r="C332" s="227"/>
      <c r="D332" s="226"/>
      <c r="E332" s="227"/>
      <c r="F332" s="227"/>
    </row>
    <row r="333" spans="2:6" ht="12.75">
      <c r="B333" s="226"/>
      <c r="C333" s="227"/>
      <c r="D333" s="226"/>
      <c r="E333" s="227"/>
      <c r="F333" s="227"/>
    </row>
    <row r="334" spans="2:6" ht="12.75">
      <c r="B334" s="226"/>
      <c r="C334" s="227"/>
      <c r="D334" s="226"/>
      <c r="E334" s="227"/>
      <c r="F334" s="227"/>
    </row>
    <row r="335" spans="2:6" ht="12.75">
      <c r="B335" s="226"/>
      <c r="C335" s="227"/>
      <c r="D335" s="226"/>
      <c r="E335" s="227"/>
      <c r="F335" s="227"/>
    </row>
    <row r="336" spans="2:6" ht="12.75">
      <c r="B336" s="226"/>
      <c r="C336" s="227"/>
      <c r="D336" s="226"/>
      <c r="E336" s="227"/>
      <c r="F336" s="227"/>
    </row>
    <row r="337" spans="2:6" ht="12.75">
      <c r="B337" s="226"/>
      <c r="C337" s="227"/>
      <c r="D337" s="226"/>
      <c r="E337" s="227"/>
      <c r="F337" s="227"/>
    </row>
    <row r="338" spans="2:6" ht="12.75">
      <c r="B338" s="226"/>
      <c r="C338" s="227"/>
      <c r="D338" s="226"/>
      <c r="E338" s="227"/>
      <c r="F338" s="227"/>
    </row>
    <row r="339" spans="2:6" ht="12.75">
      <c r="B339" s="226"/>
      <c r="C339" s="227"/>
      <c r="D339" s="226"/>
      <c r="E339" s="227"/>
      <c r="F339" s="227"/>
    </row>
    <row r="340" spans="2:6" ht="12.75">
      <c r="B340" s="226"/>
      <c r="C340" s="227"/>
      <c r="D340" s="226"/>
      <c r="E340" s="227"/>
      <c r="F340" s="227"/>
    </row>
    <row r="341" spans="2:6" ht="12.75">
      <c r="B341" s="226"/>
      <c r="C341" s="227"/>
      <c r="D341" s="226"/>
      <c r="E341" s="227"/>
      <c r="F341" s="227"/>
    </row>
    <row r="342" spans="2:6" ht="12.75">
      <c r="B342" s="226"/>
      <c r="C342" s="227"/>
      <c r="D342" s="226"/>
      <c r="E342" s="227"/>
      <c r="F342" s="227"/>
    </row>
    <row r="343" spans="2:6" ht="12.75">
      <c r="B343" s="226"/>
      <c r="C343" s="227"/>
      <c r="D343" s="226"/>
      <c r="E343" s="227"/>
      <c r="F343" s="227"/>
    </row>
    <row r="344" spans="2:6" ht="12.75">
      <c r="B344" s="226"/>
      <c r="C344" s="227"/>
      <c r="D344" s="226"/>
      <c r="E344" s="227"/>
      <c r="F344" s="227"/>
    </row>
    <row r="345" spans="2:6" ht="12.75">
      <c r="B345" s="226"/>
      <c r="C345" s="227"/>
      <c r="D345" s="226"/>
      <c r="E345" s="227"/>
      <c r="F345" s="227"/>
    </row>
    <row r="346" spans="2:6" ht="12.75">
      <c r="B346" s="226"/>
      <c r="C346" s="227"/>
      <c r="D346" s="226"/>
      <c r="E346" s="227"/>
      <c r="F346" s="227"/>
    </row>
    <row r="347" spans="2:6" ht="12.75">
      <c r="B347" s="226"/>
      <c r="C347" s="227"/>
      <c r="D347" s="226"/>
      <c r="E347" s="227"/>
      <c r="F347" s="227"/>
    </row>
    <row r="348" spans="2:6" ht="12.75">
      <c r="B348" s="226"/>
      <c r="C348" s="227"/>
      <c r="D348" s="226"/>
      <c r="E348" s="227"/>
      <c r="F348" s="227"/>
    </row>
    <row r="349" spans="2:6" ht="12.75">
      <c r="B349" s="226"/>
      <c r="C349" s="227"/>
      <c r="D349" s="226"/>
      <c r="E349" s="227"/>
      <c r="F349" s="227"/>
    </row>
    <row r="350" spans="2:6" ht="12.75">
      <c r="B350" s="226"/>
      <c r="C350" s="227"/>
      <c r="D350" s="226"/>
      <c r="E350" s="227"/>
      <c r="F350" s="227"/>
    </row>
    <row r="351" spans="2:6" ht="12.75">
      <c r="B351" s="226"/>
      <c r="C351" s="227"/>
      <c r="D351" s="226"/>
      <c r="E351" s="227"/>
      <c r="F351" s="227"/>
    </row>
    <row r="352" spans="2:6" ht="12.75">
      <c r="B352" s="226"/>
      <c r="C352" s="227"/>
      <c r="D352" s="226"/>
      <c r="E352" s="227"/>
      <c r="F352" s="227"/>
    </row>
    <row r="353" spans="2:6" ht="12.75">
      <c r="B353" s="226"/>
      <c r="C353" s="227"/>
      <c r="D353" s="226"/>
      <c r="E353" s="227"/>
      <c r="F353" s="227"/>
    </row>
    <row r="354" spans="2:6" ht="12.75">
      <c r="B354" s="226"/>
      <c r="C354" s="227"/>
      <c r="D354" s="226"/>
      <c r="E354" s="227"/>
      <c r="F354" s="227"/>
    </row>
    <row r="355" spans="2:6" ht="12.75">
      <c r="B355" s="226"/>
      <c r="C355" s="227"/>
      <c r="D355" s="226"/>
      <c r="E355" s="227"/>
      <c r="F355" s="227"/>
    </row>
    <row r="356" spans="2:6" ht="12.75">
      <c r="B356" s="226"/>
      <c r="C356" s="227"/>
      <c r="D356" s="226"/>
      <c r="E356" s="227"/>
      <c r="F356" s="227"/>
    </row>
    <row r="357" spans="2:6" ht="12.75">
      <c r="B357" s="226"/>
      <c r="C357" s="227"/>
      <c r="D357" s="226"/>
      <c r="E357" s="227"/>
      <c r="F357" s="227"/>
    </row>
    <row r="358" spans="2:6" ht="12.75">
      <c r="B358" s="226"/>
      <c r="C358" s="227"/>
      <c r="D358" s="226"/>
      <c r="E358" s="227"/>
      <c r="F358" s="227"/>
    </row>
    <row r="359" spans="2:6" ht="12.75">
      <c r="B359" s="226"/>
      <c r="C359" s="227"/>
      <c r="D359" s="226"/>
      <c r="E359" s="227"/>
      <c r="F359" s="227"/>
    </row>
    <row r="360" spans="2:6" ht="12.75">
      <c r="B360" s="226"/>
      <c r="C360" s="227"/>
      <c r="D360" s="226"/>
      <c r="E360" s="227"/>
      <c r="F360" s="227"/>
    </row>
    <row r="361" spans="2:6" ht="12.75">
      <c r="B361" s="226"/>
      <c r="C361" s="227"/>
      <c r="D361" s="226"/>
      <c r="E361" s="227"/>
      <c r="F361" s="227"/>
    </row>
    <row r="362" spans="2:6" ht="12.75">
      <c r="B362" s="226"/>
      <c r="C362" s="227"/>
      <c r="D362" s="226"/>
      <c r="E362" s="227"/>
      <c r="F362" s="227"/>
    </row>
    <row r="363" spans="2:6" ht="12.75">
      <c r="B363" s="226"/>
      <c r="C363" s="227"/>
      <c r="D363" s="226"/>
      <c r="E363" s="227"/>
      <c r="F363" s="227"/>
    </row>
    <row r="364" spans="2:6" ht="12.75">
      <c r="B364" s="226"/>
      <c r="C364" s="227"/>
      <c r="D364" s="226"/>
      <c r="E364" s="227"/>
      <c r="F364" s="227"/>
    </row>
    <row r="365" spans="2:6" ht="12.75">
      <c r="B365" s="226"/>
      <c r="C365" s="227"/>
      <c r="D365" s="226"/>
      <c r="E365" s="227"/>
      <c r="F365" s="227"/>
    </row>
    <row r="366" spans="2:6" ht="12.75">
      <c r="B366" s="226"/>
      <c r="C366" s="227"/>
      <c r="D366" s="226"/>
      <c r="E366" s="227"/>
      <c r="F366" s="227"/>
    </row>
    <row r="367" spans="2:6" ht="12.75">
      <c r="B367" s="226"/>
      <c r="C367" s="227"/>
      <c r="D367" s="226"/>
      <c r="E367" s="227"/>
      <c r="F367" s="227"/>
    </row>
    <row r="368" spans="2:6" ht="12.75">
      <c r="B368" s="226"/>
      <c r="C368" s="227"/>
      <c r="D368" s="226"/>
      <c r="E368" s="227"/>
      <c r="F368" s="227"/>
    </row>
    <row r="369" spans="2:6" ht="12.75">
      <c r="B369" s="226"/>
      <c r="C369" s="227"/>
      <c r="D369" s="226"/>
      <c r="E369" s="227"/>
      <c r="F369" s="227"/>
    </row>
    <row r="370" spans="2:6" ht="12.75">
      <c r="B370" s="226"/>
      <c r="C370" s="227"/>
      <c r="D370" s="226"/>
      <c r="E370" s="227"/>
      <c r="F370" s="227"/>
    </row>
    <row r="371" spans="2:6" ht="12.75">
      <c r="B371" s="226"/>
      <c r="C371" s="227"/>
      <c r="D371" s="226"/>
      <c r="E371" s="227"/>
      <c r="F371" s="227"/>
    </row>
    <row r="372" spans="2:6" ht="12.75">
      <c r="B372" s="226"/>
      <c r="C372" s="227"/>
      <c r="D372" s="226"/>
      <c r="E372" s="227"/>
      <c r="F372" s="227"/>
    </row>
    <row r="373" spans="2:6" ht="12.75">
      <c r="B373" s="226"/>
      <c r="C373" s="227"/>
      <c r="D373" s="226"/>
      <c r="E373" s="227"/>
      <c r="F373" s="227"/>
    </row>
    <row r="374" spans="2:6" ht="12.75">
      <c r="B374" s="226"/>
      <c r="C374" s="227"/>
      <c r="D374" s="226"/>
      <c r="E374" s="227"/>
      <c r="F374" s="227"/>
    </row>
    <row r="375" spans="2:6" ht="12.75">
      <c r="B375" s="226"/>
      <c r="C375" s="227"/>
      <c r="D375" s="226"/>
      <c r="E375" s="227"/>
      <c r="F375" s="227"/>
    </row>
    <row r="376" spans="2:6" ht="12.75">
      <c r="B376" s="226"/>
      <c r="C376" s="227"/>
      <c r="D376" s="226"/>
      <c r="E376" s="227"/>
      <c r="F376" s="227"/>
    </row>
    <row r="377" spans="2:6" ht="12.75">
      <c r="B377" s="226"/>
      <c r="C377" s="227"/>
      <c r="D377" s="226"/>
      <c r="E377" s="227"/>
      <c r="F377" s="227"/>
    </row>
    <row r="378" spans="2:6" ht="12.75">
      <c r="B378" s="226"/>
      <c r="C378" s="227"/>
      <c r="D378" s="226"/>
      <c r="E378" s="227"/>
      <c r="F378" s="227"/>
    </row>
    <row r="379" spans="2:6" ht="12.75">
      <c r="B379" s="226"/>
      <c r="C379" s="227"/>
      <c r="D379" s="226"/>
      <c r="E379" s="227"/>
      <c r="F379" s="227"/>
    </row>
    <row r="380" spans="2:6" ht="12.75">
      <c r="B380" s="226"/>
      <c r="C380" s="227"/>
      <c r="D380" s="226"/>
      <c r="E380" s="227"/>
      <c r="F380" s="227"/>
    </row>
    <row r="381" spans="2:6" ht="12.75">
      <c r="B381" s="226"/>
      <c r="C381" s="227"/>
      <c r="D381" s="226"/>
      <c r="E381" s="227"/>
      <c r="F381" s="227"/>
    </row>
    <row r="382" spans="2:6" ht="12.75">
      <c r="B382" s="226"/>
      <c r="C382" s="227"/>
      <c r="D382" s="226"/>
      <c r="E382" s="227"/>
      <c r="F382" s="227"/>
    </row>
    <row r="383" spans="2:6" ht="12.75">
      <c r="B383" s="226"/>
      <c r="C383" s="227"/>
      <c r="D383" s="226"/>
      <c r="E383" s="227"/>
      <c r="F383" s="227"/>
    </row>
    <row r="384" spans="2:6" ht="12.75">
      <c r="B384" s="226"/>
      <c r="C384" s="227"/>
      <c r="D384" s="226"/>
      <c r="E384" s="227"/>
      <c r="F384" s="227"/>
    </row>
    <row r="385" spans="2:6" ht="12.75">
      <c r="B385" s="226"/>
      <c r="C385" s="227"/>
      <c r="D385" s="226"/>
      <c r="E385" s="227"/>
      <c r="F385" s="227"/>
    </row>
    <row r="386" spans="2:6" ht="12.75">
      <c r="B386" s="226"/>
      <c r="C386" s="227"/>
      <c r="D386" s="226"/>
      <c r="E386" s="227"/>
      <c r="F386" s="227"/>
    </row>
    <row r="387" spans="2:6" ht="12.75">
      <c r="B387" s="226"/>
      <c r="C387" s="227"/>
      <c r="D387" s="226"/>
      <c r="E387" s="227"/>
      <c r="F387" s="227"/>
    </row>
    <row r="388" spans="2:6" ht="12.75">
      <c r="B388" s="226"/>
      <c r="C388" s="227"/>
      <c r="D388" s="226"/>
      <c r="E388" s="227"/>
      <c r="F388" s="227"/>
    </row>
    <row r="389" spans="2:6" ht="12.75">
      <c r="B389" s="226"/>
      <c r="C389" s="227"/>
      <c r="D389" s="226"/>
      <c r="E389" s="227"/>
      <c r="F389" s="227"/>
    </row>
    <row r="390" spans="2:6" ht="12.75">
      <c r="B390" s="226"/>
      <c r="C390" s="227"/>
      <c r="D390" s="226"/>
      <c r="E390" s="227"/>
      <c r="F390" s="227"/>
    </row>
    <row r="391" spans="2:6" ht="12.75">
      <c r="B391" s="226"/>
      <c r="C391" s="227"/>
      <c r="D391" s="226"/>
      <c r="E391" s="227"/>
      <c r="F391" s="227"/>
    </row>
    <row r="392" spans="2:6" ht="12.75">
      <c r="B392" s="226"/>
      <c r="C392" s="227"/>
      <c r="D392" s="226"/>
      <c r="E392" s="227"/>
      <c r="F392" s="227"/>
    </row>
    <row r="393" spans="2:6" ht="12.75">
      <c r="B393" s="226"/>
      <c r="C393" s="227"/>
      <c r="D393" s="226"/>
      <c r="E393" s="227"/>
      <c r="F393" s="227"/>
    </row>
    <row r="394" spans="2:6" ht="12.75">
      <c r="B394" s="226"/>
      <c r="C394" s="227"/>
      <c r="D394" s="226"/>
      <c r="E394" s="227"/>
      <c r="F394" s="227"/>
    </row>
    <row r="395" spans="2:6" ht="12.75">
      <c r="B395" s="226"/>
      <c r="C395" s="227"/>
      <c r="D395" s="226"/>
      <c r="E395" s="227"/>
      <c r="F395" s="227"/>
    </row>
    <row r="396" spans="2:6" ht="12.75">
      <c r="B396" s="226"/>
      <c r="C396" s="227"/>
      <c r="D396" s="226"/>
      <c r="E396" s="227"/>
      <c r="F396" s="227"/>
    </row>
    <row r="397" spans="2:6" ht="12.75">
      <c r="B397" s="226"/>
      <c r="C397" s="227"/>
      <c r="D397" s="226"/>
      <c r="E397" s="227"/>
      <c r="F397" s="227"/>
    </row>
    <row r="398" spans="2:6" ht="12.75">
      <c r="B398" s="226"/>
      <c r="C398" s="227"/>
      <c r="D398" s="226"/>
      <c r="E398" s="227"/>
      <c r="F398" s="227"/>
    </row>
    <row r="399" spans="2:6" ht="12.75">
      <c r="B399" s="226"/>
      <c r="C399" s="227"/>
      <c r="D399" s="226"/>
      <c r="E399" s="227"/>
      <c r="F399" s="227"/>
    </row>
    <row r="400" spans="2:6" ht="12.75">
      <c r="B400" s="226"/>
      <c r="C400" s="227"/>
      <c r="D400" s="226"/>
      <c r="E400" s="227"/>
      <c r="F400" s="227"/>
    </row>
    <row r="401" spans="2:6" ht="12.75">
      <c r="B401" s="226"/>
      <c r="C401" s="227"/>
      <c r="D401" s="226"/>
      <c r="E401" s="227"/>
      <c r="F401" s="227"/>
    </row>
    <row r="402" spans="2:6" ht="12.75">
      <c r="B402" s="226"/>
      <c r="C402" s="227"/>
      <c r="D402" s="226"/>
      <c r="E402" s="227"/>
      <c r="F402" s="227"/>
    </row>
    <row r="403" spans="2:6" ht="12.75">
      <c r="B403" s="226"/>
      <c r="C403" s="227"/>
      <c r="D403" s="226"/>
      <c r="E403" s="227"/>
      <c r="F403" s="227"/>
    </row>
    <row r="404" spans="2:6" ht="12.75">
      <c r="B404" s="226"/>
      <c r="C404" s="227"/>
      <c r="D404" s="226"/>
      <c r="E404" s="227"/>
      <c r="F404" s="227"/>
    </row>
    <row r="405" spans="2:6" ht="12.75">
      <c r="B405" s="226"/>
      <c r="C405" s="227"/>
      <c r="D405" s="226"/>
      <c r="E405" s="227"/>
      <c r="F405" s="227"/>
    </row>
    <row r="406" spans="2:6" ht="12.75">
      <c r="B406" s="226"/>
      <c r="C406" s="227"/>
      <c r="D406" s="226"/>
      <c r="E406" s="227"/>
      <c r="F406" s="227"/>
    </row>
    <row r="407" spans="2:6" ht="12.75">
      <c r="B407" s="226"/>
      <c r="C407" s="227"/>
      <c r="D407" s="226"/>
      <c r="E407" s="227"/>
      <c r="F407" s="227"/>
    </row>
    <row r="408" spans="2:6" ht="12.75">
      <c r="B408" s="226"/>
      <c r="C408" s="227"/>
      <c r="D408" s="226"/>
      <c r="E408" s="227"/>
      <c r="F408" s="227"/>
    </row>
    <row r="409" spans="2:6" ht="12.75">
      <c r="B409" s="226"/>
      <c r="C409" s="227"/>
      <c r="D409" s="226"/>
      <c r="E409" s="227"/>
      <c r="F409" s="227"/>
    </row>
    <row r="410" spans="2:6" ht="12.75">
      <c r="B410" s="226"/>
      <c r="C410" s="227"/>
      <c r="D410" s="226"/>
      <c r="E410" s="227"/>
      <c r="F410" s="227"/>
    </row>
    <row r="411" spans="2:6" ht="12.75">
      <c r="B411" s="226"/>
      <c r="C411" s="227"/>
      <c r="D411" s="226"/>
      <c r="E411" s="227"/>
      <c r="F411" s="227"/>
    </row>
    <row r="412" spans="2:6" ht="12.75">
      <c r="B412" s="226"/>
      <c r="C412" s="227"/>
      <c r="D412" s="226"/>
      <c r="E412" s="227"/>
      <c r="F412" s="227"/>
    </row>
    <row r="413" spans="2:6" ht="12.75">
      <c r="B413" s="226"/>
      <c r="C413" s="227"/>
      <c r="D413" s="226"/>
      <c r="E413" s="227"/>
      <c r="F413" s="227"/>
    </row>
    <row r="414" spans="2:6" ht="12.75">
      <c r="B414" s="226"/>
      <c r="C414" s="227"/>
      <c r="D414" s="226"/>
      <c r="E414" s="227"/>
      <c r="F414" s="227"/>
    </row>
    <row r="415" spans="2:6" ht="12.75">
      <c r="B415" s="226"/>
      <c r="C415" s="227"/>
      <c r="D415" s="226"/>
      <c r="E415" s="227"/>
      <c r="F415" s="227"/>
    </row>
    <row r="416" spans="2:6" ht="12.75">
      <c r="B416" s="226"/>
      <c r="C416" s="227"/>
      <c r="D416" s="226"/>
      <c r="E416" s="227"/>
      <c r="F416" s="227"/>
    </row>
    <row r="417" spans="2:6" ht="12.75">
      <c r="B417" s="226"/>
      <c r="C417" s="227"/>
      <c r="D417" s="226"/>
      <c r="E417" s="227"/>
      <c r="F417" s="227"/>
    </row>
    <row r="418" spans="2:6" ht="12.75">
      <c r="B418" s="226"/>
      <c r="C418" s="227"/>
      <c r="D418" s="226"/>
      <c r="E418" s="227"/>
      <c r="F418" s="227"/>
    </row>
    <row r="419" spans="2:6" ht="12.75">
      <c r="B419" s="226"/>
      <c r="C419" s="227"/>
      <c r="D419" s="226"/>
      <c r="E419" s="227"/>
      <c r="F419" s="227"/>
    </row>
    <row r="420" spans="2:6" ht="12.75">
      <c r="B420" s="226"/>
      <c r="C420" s="227"/>
      <c r="D420" s="226"/>
      <c r="E420" s="227"/>
      <c r="F420" s="227"/>
    </row>
    <row r="421" spans="2:6" ht="12.75">
      <c r="B421" s="226"/>
      <c r="C421" s="227"/>
      <c r="D421" s="226"/>
      <c r="E421" s="227"/>
      <c r="F421" s="227"/>
    </row>
    <row r="422" spans="2:6" ht="12.75">
      <c r="B422" s="226"/>
      <c r="C422" s="227"/>
      <c r="D422" s="226"/>
      <c r="E422" s="227"/>
      <c r="F422" s="227"/>
    </row>
    <row r="423" spans="2:6" ht="12.75">
      <c r="B423" s="226"/>
      <c r="C423" s="227"/>
      <c r="D423" s="226"/>
      <c r="E423" s="227"/>
      <c r="F423" s="227"/>
    </row>
    <row r="424" spans="2:6" ht="12.75">
      <c r="B424" s="226"/>
      <c r="C424" s="227"/>
      <c r="D424" s="226"/>
      <c r="E424" s="227"/>
      <c r="F424" s="227"/>
    </row>
    <row r="425" spans="2:6" ht="12.75">
      <c r="B425" s="226"/>
      <c r="C425" s="227"/>
      <c r="D425" s="226"/>
      <c r="E425" s="227"/>
      <c r="F425" s="227"/>
    </row>
    <row r="426" spans="2:6" ht="12.75">
      <c r="B426" s="226"/>
      <c r="C426" s="227"/>
      <c r="D426" s="226"/>
      <c r="E426" s="227"/>
      <c r="F426" s="227"/>
    </row>
    <row r="427" spans="2:6" ht="12.75">
      <c r="B427" s="226"/>
      <c r="C427" s="227"/>
      <c r="D427" s="226"/>
      <c r="E427" s="227"/>
      <c r="F427" s="227"/>
    </row>
    <row r="428" spans="2:6" ht="12.75">
      <c r="B428" s="226"/>
      <c r="C428" s="227"/>
      <c r="D428" s="226"/>
      <c r="E428" s="227"/>
      <c r="F428" s="227"/>
    </row>
    <row r="429" spans="2:6" ht="12.75">
      <c r="B429" s="226"/>
      <c r="C429" s="227"/>
      <c r="D429" s="226"/>
      <c r="E429" s="227"/>
      <c r="F429" s="227"/>
    </row>
    <row r="430" spans="2:6" ht="12.75">
      <c r="B430" s="226"/>
      <c r="C430" s="227"/>
      <c r="D430" s="226"/>
      <c r="E430" s="227"/>
      <c r="F430" s="227"/>
    </row>
    <row r="431" spans="2:6" ht="12.75">
      <c r="B431" s="226"/>
      <c r="C431" s="227"/>
      <c r="D431" s="226"/>
      <c r="E431" s="227"/>
      <c r="F431" s="227"/>
    </row>
    <row r="432" spans="2:6" ht="12.75">
      <c r="B432" s="226"/>
      <c r="C432" s="227"/>
      <c r="D432" s="226"/>
      <c r="E432" s="227"/>
      <c r="F432" s="227"/>
    </row>
    <row r="433" spans="2:6" ht="12.75">
      <c r="B433" s="226"/>
      <c r="C433" s="227"/>
      <c r="D433" s="226"/>
      <c r="E433" s="227"/>
      <c r="F433" s="227"/>
    </row>
    <row r="434" spans="2:6" ht="12.75">
      <c r="B434" s="226"/>
      <c r="C434" s="227"/>
      <c r="D434" s="226"/>
      <c r="E434" s="227"/>
      <c r="F434" s="227"/>
    </row>
    <row r="435" spans="2:6" ht="12.75">
      <c r="B435" s="226"/>
      <c r="C435" s="227"/>
      <c r="D435" s="226"/>
      <c r="E435" s="227"/>
      <c r="F435" s="227"/>
    </row>
    <row r="436" spans="2:6" ht="12.75">
      <c r="B436" s="226"/>
      <c r="C436" s="227"/>
      <c r="D436" s="226"/>
      <c r="E436" s="227"/>
      <c r="F436" s="227"/>
    </row>
    <row r="437" spans="2:6" ht="12.75">
      <c r="B437" s="226"/>
      <c r="C437" s="227"/>
      <c r="D437" s="226"/>
      <c r="E437" s="227"/>
      <c r="F437" s="227"/>
    </row>
    <row r="438" spans="2:6" ht="12.75">
      <c r="B438" s="226"/>
      <c r="C438" s="227"/>
      <c r="D438" s="226"/>
      <c r="E438" s="227"/>
      <c r="F438" s="227"/>
    </row>
    <row r="439" spans="2:6" ht="12.75">
      <c r="B439" s="226"/>
      <c r="C439" s="227"/>
      <c r="D439" s="226"/>
      <c r="E439" s="227"/>
      <c r="F439" s="227"/>
    </row>
    <row r="440" spans="2:6" ht="12.75">
      <c r="B440" s="226"/>
      <c r="C440" s="227"/>
      <c r="D440" s="226"/>
      <c r="E440" s="227"/>
      <c r="F440" s="227"/>
    </row>
    <row r="441" spans="2:6" ht="12.75">
      <c r="B441" s="226"/>
      <c r="C441" s="227"/>
      <c r="D441" s="226"/>
      <c r="E441" s="227"/>
      <c r="F441" s="227"/>
    </row>
    <row r="442" spans="2:6" ht="12.75">
      <c r="B442" s="226"/>
      <c r="C442" s="227"/>
      <c r="D442" s="226"/>
      <c r="E442" s="227"/>
      <c r="F442" s="227"/>
    </row>
    <row r="443" spans="2:6" ht="12.75">
      <c r="B443" s="226"/>
      <c r="C443" s="227"/>
      <c r="D443" s="226"/>
      <c r="E443" s="227"/>
      <c r="F443" s="227"/>
    </row>
    <row r="444" spans="2:6" ht="12.75">
      <c r="B444" s="226"/>
      <c r="C444" s="227"/>
      <c r="D444" s="226"/>
      <c r="E444" s="227"/>
      <c r="F444" s="227"/>
    </row>
    <row r="445" spans="2:6" ht="12.75">
      <c r="B445" s="226"/>
      <c r="C445" s="227"/>
      <c r="D445" s="226"/>
      <c r="E445" s="227"/>
      <c r="F445" s="227"/>
    </row>
    <row r="446" spans="2:6" ht="12.75">
      <c r="B446" s="226"/>
      <c r="C446" s="227"/>
      <c r="D446" s="226"/>
      <c r="E446" s="227"/>
      <c r="F446" s="227"/>
    </row>
    <row r="447" spans="2:6" ht="12.75">
      <c r="B447" s="226"/>
      <c r="C447" s="227"/>
      <c r="D447" s="226"/>
      <c r="E447" s="227"/>
      <c r="F447" s="227"/>
    </row>
    <row r="448" spans="2:6" ht="12.75">
      <c r="B448" s="226"/>
      <c r="C448" s="227"/>
      <c r="D448" s="226"/>
      <c r="E448" s="227"/>
      <c r="F448" s="227"/>
    </row>
    <row r="449" spans="2:6" ht="12.75">
      <c r="B449" s="226"/>
      <c r="C449" s="227"/>
      <c r="D449" s="226"/>
      <c r="E449" s="227"/>
      <c r="F449" s="227"/>
    </row>
    <row r="450" spans="2:6" ht="12.75">
      <c r="B450" s="226"/>
      <c r="C450" s="227"/>
      <c r="D450" s="226"/>
      <c r="E450" s="227"/>
      <c r="F450" s="227"/>
    </row>
    <row r="451" spans="2:6" ht="12.75">
      <c r="B451" s="226"/>
      <c r="C451" s="227"/>
      <c r="D451" s="226"/>
      <c r="E451" s="227"/>
      <c r="F451" s="227"/>
    </row>
    <row r="452" spans="2:6" ht="12.75">
      <c r="B452" s="226"/>
      <c r="C452" s="227"/>
      <c r="D452" s="226"/>
      <c r="E452" s="227"/>
      <c r="F452" s="227"/>
    </row>
    <row r="453" spans="2:6" ht="12.75">
      <c r="B453" s="226"/>
      <c r="C453" s="227"/>
      <c r="D453" s="226"/>
      <c r="E453" s="227"/>
      <c r="F453" s="227"/>
    </row>
    <row r="454" spans="2:6" ht="12.75">
      <c r="B454" s="226"/>
      <c r="C454" s="227"/>
      <c r="D454" s="226"/>
      <c r="E454" s="227"/>
      <c r="F454" s="227"/>
    </row>
    <row r="455" spans="2:6" ht="12.75">
      <c r="B455" s="226"/>
      <c r="C455" s="227"/>
      <c r="D455" s="226"/>
      <c r="E455" s="227"/>
      <c r="F455" s="227"/>
    </row>
    <row r="456" spans="2:6" ht="12.75">
      <c r="B456" s="226"/>
      <c r="C456" s="227"/>
      <c r="D456" s="226"/>
      <c r="E456" s="227"/>
      <c r="F456" s="227"/>
    </row>
    <row r="457" spans="2:6" ht="12.75">
      <c r="B457" s="226"/>
      <c r="C457" s="227"/>
      <c r="D457" s="226"/>
      <c r="E457" s="227"/>
      <c r="F457" s="227"/>
    </row>
    <row r="458" spans="2:6" ht="12.75">
      <c r="B458" s="226"/>
      <c r="C458" s="227"/>
      <c r="D458" s="226"/>
      <c r="E458" s="227"/>
      <c r="F458" s="227"/>
    </row>
    <row r="459" spans="2:6" ht="12.75">
      <c r="B459" s="226"/>
      <c r="C459" s="227"/>
      <c r="D459" s="226"/>
      <c r="E459" s="227"/>
      <c r="F459" s="227"/>
    </row>
    <row r="460" spans="2:6" ht="12.75">
      <c r="B460" s="226"/>
      <c r="C460" s="227"/>
      <c r="D460" s="226"/>
      <c r="E460" s="227"/>
      <c r="F460" s="227"/>
    </row>
    <row r="461" spans="2:6" ht="12.75">
      <c r="B461" s="226"/>
      <c r="C461" s="227"/>
      <c r="D461" s="226"/>
      <c r="E461" s="227"/>
      <c r="F461" s="227"/>
    </row>
    <row r="462" spans="2:6" ht="12.75">
      <c r="B462" s="226"/>
      <c r="C462" s="227"/>
      <c r="D462" s="226"/>
      <c r="E462" s="227"/>
      <c r="F462" s="227"/>
    </row>
    <row r="463" spans="2:6" ht="12.75">
      <c r="B463" s="226"/>
      <c r="C463" s="227"/>
      <c r="D463" s="226"/>
      <c r="E463" s="227"/>
      <c r="F463" s="227"/>
    </row>
    <row r="464" spans="2:6" ht="12.75">
      <c r="B464" s="226"/>
      <c r="C464" s="227"/>
      <c r="D464" s="226"/>
      <c r="E464" s="227"/>
      <c r="F464" s="227"/>
    </row>
    <row r="465" spans="2:6" ht="12.75">
      <c r="B465" s="226"/>
      <c r="C465" s="227"/>
      <c r="D465" s="226"/>
      <c r="E465" s="227"/>
      <c r="F465" s="227"/>
    </row>
    <row r="466" spans="2:6" ht="12.75">
      <c r="B466" s="226"/>
      <c r="C466" s="227"/>
      <c r="D466" s="226"/>
      <c r="E466" s="227"/>
      <c r="F466" s="227"/>
    </row>
    <row r="467" spans="2:6" ht="12.75">
      <c r="B467" s="226"/>
      <c r="C467" s="227"/>
      <c r="D467" s="226"/>
      <c r="E467" s="227"/>
      <c r="F467" s="227"/>
    </row>
    <row r="468" spans="2:6" ht="12.75">
      <c r="B468" s="226"/>
      <c r="C468" s="227"/>
      <c r="D468" s="226"/>
      <c r="E468" s="227"/>
      <c r="F468" s="227"/>
    </row>
    <row r="469" spans="2:6" ht="12.75">
      <c r="B469" s="226"/>
      <c r="C469" s="227"/>
      <c r="D469" s="226"/>
      <c r="E469" s="227"/>
      <c r="F469" s="227"/>
    </row>
    <row r="470" spans="2:6" ht="12.75">
      <c r="B470" s="226"/>
      <c r="C470" s="227"/>
      <c r="D470" s="226"/>
      <c r="E470" s="227"/>
      <c r="F470" s="227"/>
    </row>
    <row r="471" spans="2:6" ht="12.75">
      <c r="B471" s="226"/>
      <c r="C471" s="227"/>
      <c r="D471" s="226"/>
      <c r="E471" s="227"/>
      <c r="F471" s="227"/>
    </row>
    <row r="472" spans="2:6" ht="12.75">
      <c r="B472" s="226"/>
      <c r="C472" s="227"/>
      <c r="D472" s="226"/>
      <c r="E472" s="227"/>
      <c r="F472" s="227"/>
    </row>
    <row r="473" spans="2:6" ht="12.75">
      <c r="B473" s="226"/>
      <c r="C473" s="227"/>
      <c r="D473" s="226"/>
      <c r="E473" s="227"/>
      <c r="F473" s="227"/>
    </row>
    <row r="474" spans="2:6" ht="12.75">
      <c r="B474" s="226"/>
      <c r="C474" s="227"/>
      <c r="D474" s="226"/>
      <c r="E474" s="227"/>
      <c r="F474" s="227"/>
    </row>
    <row r="475" spans="2:6" ht="12.75">
      <c r="B475" s="226"/>
      <c r="C475" s="227"/>
      <c r="D475" s="226"/>
      <c r="E475" s="227"/>
      <c r="F475" s="227"/>
    </row>
    <row r="476" spans="2:6" ht="12.75">
      <c r="B476" s="226"/>
      <c r="C476" s="227"/>
      <c r="D476" s="226"/>
      <c r="E476" s="227"/>
      <c r="F476" s="227"/>
    </row>
    <row r="477" spans="2:6" ht="12.75">
      <c r="B477" s="226"/>
      <c r="C477" s="227"/>
      <c r="D477" s="226"/>
      <c r="E477" s="227"/>
      <c r="F477" s="227"/>
    </row>
    <row r="478" spans="2:6" ht="12.75">
      <c r="B478" s="226"/>
      <c r="C478" s="227"/>
      <c r="D478" s="226"/>
      <c r="E478" s="227"/>
      <c r="F478" s="227"/>
    </row>
    <row r="479" spans="2:6" ht="12.75">
      <c r="B479" s="226"/>
      <c r="C479" s="227"/>
      <c r="D479" s="226"/>
      <c r="E479" s="227"/>
      <c r="F479" s="227"/>
    </row>
    <row r="480" spans="2:6" ht="12.75">
      <c r="B480" s="226"/>
      <c r="C480" s="227"/>
      <c r="D480" s="226"/>
      <c r="E480" s="227"/>
      <c r="F480" s="227"/>
    </row>
    <row r="481" spans="2:6" ht="12.75">
      <c r="B481" s="226"/>
      <c r="C481" s="227"/>
      <c r="D481" s="226"/>
      <c r="E481" s="227"/>
      <c r="F481" s="227"/>
    </row>
    <row r="482" spans="2:6" ht="12.75">
      <c r="B482" s="226"/>
      <c r="C482" s="227"/>
      <c r="D482" s="226"/>
      <c r="E482" s="227"/>
      <c r="F482" s="227"/>
    </row>
    <row r="483" spans="2:6" ht="12.75">
      <c r="B483" s="226"/>
      <c r="C483" s="227"/>
      <c r="D483" s="226"/>
      <c r="E483" s="227"/>
      <c r="F483" s="227"/>
    </row>
    <row r="484" spans="2:6" ht="12.75">
      <c r="B484" s="226"/>
      <c r="C484" s="227"/>
      <c r="D484" s="226"/>
      <c r="E484" s="227"/>
      <c r="F484" s="227"/>
    </row>
    <row r="485" spans="2:6" ht="12.75">
      <c r="B485" s="226"/>
      <c r="C485" s="227"/>
      <c r="D485" s="226"/>
      <c r="E485" s="227"/>
      <c r="F485" s="227"/>
    </row>
    <row r="486" spans="2:6" ht="12.75">
      <c r="B486" s="226"/>
      <c r="C486" s="227"/>
      <c r="D486" s="226"/>
      <c r="E486" s="227"/>
      <c r="F486" s="227"/>
    </row>
    <row r="487" spans="2:6" ht="12.75">
      <c r="B487" s="226"/>
      <c r="C487" s="227"/>
      <c r="D487" s="226"/>
      <c r="E487" s="227"/>
      <c r="F487" s="227"/>
    </row>
    <row r="488" spans="2:6" ht="12.75">
      <c r="B488" s="226"/>
      <c r="C488" s="227"/>
      <c r="D488" s="226"/>
      <c r="E488" s="227"/>
      <c r="F488" s="227"/>
    </row>
    <row r="489" spans="2:6" ht="12.75">
      <c r="B489" s="226"/>
      <c r="C489" s="227"/>
      <c r="D489" s="226"/>
      <c r="E489" s="227"/>
      <c r="F489" s="227"/>
    </row>
    <row r="490" spans="2:6" ht="12.75">
      <c r="B490" s="226"/>
      <c r="C490" s="227"/>
      <c r="D490" s="226"/>
      <c r="E490" s="227"/>
      <c r="F490" s="227"/>
    </row>
    <row r="491" spans="2:6" ht="12.75">
      <c r="B491" s="226"/>
      <c r="C491" s="227"/>
      <c r="D491" s="226"/>
      <c r="E491" s="227"/>
      <c r="F491" s="227"/>
    </row>
    <row r="492" spans="2:6" ht="12.75">
      <c r="B492" s="226"/>
      <c r="C492" s="227"/>
      <c r="D492" s="226"/>
      <c r="E492" s="227"/>
      <c r="F492" s="227"/>
    </row>
    <row r="493" spans="2:6" ht="12.75">
      <c r="B493" s="226"/>
      <c r="C493" s="227"/>
      <c r="D493" s="226"/>
      <c r="E493" s="227"/>
      <c r="F493" s="227"/>
    </row>
    <row r="494" spans="2:6" ht="12.75">
      <c r="B494" s="226"/>
      <c r="C494" s="227"/>
      <c r="D494" s="226"/>
      <c r="E494" s="227"/>
      <c r="F494" s="227"/>
    </row>
    <row r="495" spans="2:6" ht="12.75">
      <c r="B495" s="226"/>
      <c r="C495" s="227"/>
      <c r="D495" s="226"/>
      <c r="E495" s="227"/>
      <c r="F495" s="227"/>
    </row>
    <row r="496" spans="2:6" ht="12.75">
      <c r="B496" s="226"/>
      <c r="C496" s="227"/>
      <c r="D496" s="226"/>
      <c r="E496" s="227"/>
      <c r="F496" s="227"/>
    </row>
    <row r="497" spans="2:6" ht="12.75">
      <c r="B497" s="226"/>
      <c r="C497" s="227"/>
      <c r="D497" s="226"/>
      <c r="E497" s="227"/>
      <c r="F497" s="227"/>
    </row>
    <row r="498" spans="2:6" ht="12.75">
      <c r="B498" s="226"/>
      <c r="C498" s="227"/>
      <c r="D498" s="226"/>
      <c r="E498" s="227"/>
      <c r="F498" s="227"/>
    </row>
    <row r="499" spans="2:6" ht="12.75">
      <c r="B499" s="226"/>
      <c r="C499" s="227"/>
      <c r="D499" s="226"/>
      <c r="E499" s="227"/>
      <c r="F499" s="227"/>
    </row>
    <row r="500" spans="2:6" ht="12.75">
      <c r="B500" s="226"/>
      <c r="C500" s="227"/>
      <c r="D500" s="226"/>
      <c r="E500" s="227"/>
      <c r="F500" s="227"/>
    </row>
    <row r="501" spans="2:6" ht="12.75">
      <c r="B501" s="226"/>
      <c r="C501" s="227"/>
      <c r="D501" s="226"/>
      <c r="E501" s="227"/>
      <c r="F501" s="227"/>
    </row>
    <row r="502" spans="2:6" ht="12.75">
      <c r="B502" s="226"/>
      <c r="C502" s="227"/>
      <c r="D502" s="226"/>
      <c r="E502" s="227"/>
      <c r="F502" s="227"/>
    </row>
    <row r="503" spans="2:6" ht="12.75">
      <c r="B503" s="226"/>
      <c r="C503" s="227"/>
      <c r="D503" s="226"/>
      <c r="E503" s="227"/>
      <c r="F503" s="227"/>
    </row>
    <row r="504" spans="2:6" ht="12.75">
      <c r="B504" s="226"/>
      <c r="C504" s="227"/>
      <c r="D504" s="226"/>
      <c r="E504" s="227"/>
      <c r="F504" s="227"/>
    </row>
    <row r="505" spans="2:6" ht="12.75">
      <c r="B505" s="226"/>
      <c r="C505" s="227"/>
      <c r="D505" s="226"/>
      <c r="E505" s="227"/>
      <c r="F505" s="227"/>
    </row>
    <row r="506" spans="2:6" ht="12.75">
      <c r="B506" s="226"/>
      <c r="C506" s="227"/>
      <c r="D506" s="226"/>
      <c r="E506" s="227"/>
      <c r="F506" s="227"/>
    </row>
    <row r="507" spans="2:6" ht="12.75">
      <c r="B507" s="226"/>
      <c r="C507" s="227"/>
      <c r="D507" s="226"/>
      <c r="E507" s="227"/>
      <c r="F507" s="227"/>
    </row>
    <row r="508" spans="2:6" ht="12.75">
      <c r="B508" s="226"/>
      <c r="C508" s="227"/>
      <c r="D508" s="226"/>
      <c r="E508" s="227"/>
      <c r="F508" s="227"/>
    </row>
    <row r="509" spans="2:6" ht="12.75">
      <c r="B509" s="226"/>
      <c r="C509" s="227"/>
      <c r="D509" s="226"/>
      <c r="E509" s="227"/>
      <c r="F509" s="227"/>
    </row>
    <row r="510" spans="2:6" ht="12.75">
      <c r="B510" s="226"/>
      <c r="C510" s="227"/>
      <c r="D510" s="226"/>
      <c r="E510" s="227"/>
      <c r="F510" s="227"/>
    </row>
    <row r="511" spans="2:6" ht="12.75">
      <c r="B511" s="226"/>
      <c r="C511" s="227"/>
      <c r="D511" s="226"/>
      <c r="E511" s="227"/>
      <c r="F511" s="227"/>
    </row>
    <row r="512" spans="2:6" ht="12.75">
      <c r="B512" s="226"/>
      <c r="C512" s="227"/>
      <c r="D512" s="226"/>
      <c r="E512" s="227"/>
      <c r="F512" s="227"/>
    </row>
    <row r="513" spans="2:6" ht="12.75">
      <c r="B513" s="226"/>
      <c r="C513" s="227"/>
      <c r="D513" s="226"/>
      <c r="E513" s="227"/>
      <c r="F513" s="227"/>
    </row>
    <row r="514" spans="2:6" ht="12.75">
      <c r="B514" s="226"/>
      <c r="C514" s="227"/>
      <c r="D514" s="226"/>
      <c r="E514" s="227"/>
      <c r="F514" s="227"/>
    </row>
    <row r="515" spans="2:6" ht="12.75">
      <c r="B515" s="226"/>
      <c r="C515" s="227"/>
      <c r="D515" s="226"/>
      <c r="E515" s="227"/>
      <c r="F515" s="227"/>
    </row>
    <row r="516" spans="2:6" ht="12.75">
      <c r="B516" s="226"/>
      <c r="C516" s="227"/>
      <c r="D516" s="226"/>
      <c r="E516" s="227"/>
      <c r="F516" s="227"/>
    </row>
    <row r="517" spans="2:6" ht="12.75">
      <c r="B517" s="226"/>
      <c r="C517" s="227"/>
      <c r="D517" s="226"/>
      <c r="E517" s="227"/>
      <c r="F517" s="227"/>
    </row>
    <row r="518" spans="2:6" ht="12.75">
      <c r="B518" s="226"/>
      <c r="C518" s="227"/>
      <c r="D518" s="226"/>
      <c r="E518" s="227"/>
      <c r="F518" s="227"/>
    </row>
    <row r="519" spans="2:6" ht="12.75">
      <c r="B519" s="226"/>
      <c r="C519" s="227"/>
      <c r="D519" s="226"/>
      <c r="E519" s="227"/>
      <c r="F519" s="227"/>
    </row>
    <row r="520" spans="2:6" ht="12.75">
      <c r="B520" s="226"/>
      <c r="C520" s="227"/>
      <c r="D520" s="226"/>
      <c r="E520" s="227"/>
      <c r="F520" s="227"/>
    </row>
    <row r="521" spans="2:6" ht="12.75">
      <c r="B521" s="226"/>
      <c r="C521" s="227"/>
      <c r="D521" s="226"/>
      <c r="E521" s="227"/>
      <c r="F521" s="227"/>
    </row>
    <row r="522" spans="2:6" ht="12.75">
      <c r="B522" s="226"/>
      <c r="C522" s="227"/>
      <c r="D522" s="226"/>
      <c r="E522" s="227"/>
      <c r="F522" s="227"/>
    </row>
    <row r="523" spans="2:6" ht="12.75">
      <c r="B523" s="226"/>
      <c r="C523" s="227"/>
      <c r="D523" s="226"/>
      <c r="E523" s="227"/>
      <c r="F523" s="227"/>
    </row>
    <row r="524" spans="2:6" ht="12.75">
      <c r="B524" s="226"/>
      <c r="C524" s="227"/>
      <c r="D524" s="226"/>
      <c r="E524" s="227"/>
      <c r="F524" s="227"/>
    </row>
    <row r="525" spans="2:6" ht="12.75">
      <c r="B525" s="226"/>
      <c r="C525" s="227"/>
      <c r="D525" s="226"/>
      <c r="E525" s="227"/>
      <c r="F525" s="227"/>
    </row>
    <row r="526" spans="2:6" ht="12.75">
      <c r="B526" s="226"/>
      <c r="C526" s="227"/>
      <c r="D526" s="226"/>
      <c r="E526" s="227"/>
      <c r="F526" s="227"/>
    </row>
    <row r="527" spans="2:6" ht="12.75">
      <c r="B527" s="226"/>
      <c r="C527" s="227"/>
      <c r="D527" s="226"/>
      <c r="E527" s="227"/>
      <c r="F527" s="227"/>
    </row>
    <row r="528" spans="2:6" ht="12.75">
      <c r="B528" s="226"/>
      <c r="C528" s="227"/>
      <c r="D528" s="226"/>
      <c r="E528" s="227"/>
      <c r="F528" s="227"/>
    </row>
    <row r="529" spans="2:6" ht="12.75">
      <c r="B529" s="226"/>
      <c r="C529" s="227"/>
      <c r="D529" s="226"/>
      <c r="E529" s="227"/>
      <c r="F529" s="227"/>
    </row>
    <row r="530" spans="2:6" ht="12.75">
      <c r="B530" s="226"/>
      <c r="C530" s="227"/>
      <c r="D530" s="226"/>
      <c r="E530" s="227"/>
      <c r="F530" s="227"/>
    </row>
    <row r="531" spans="2:6" ht="12.75">
      <c r="B531" s="226"/>
      <c r="C531" s="227"/>
      <c r="D531" s="226"/>
      <c r="E531" s="227"/>
      <c r="F531" s="227"/>
    </row>
    <row r="532" spans="2:6" ht="12.75">
      <c r="B532" s="226"/>
      <c r="C532" s="227"/>
      <c r="D532" s="226"/>
      <c r="E532" s="227"/>
      <c r="F532" s="227"/>
    </row>
    <row r="533" spans="2:6" ht="12.75">
      <c r="B533" s="226"/>
      <c r="C533" s="227"/>
      <c r="D533" s="226"/>
      <c r="E533" s="227"/>
      <c r="F533" s="227"/>
    </row>
    <row r="534" spans="2:6" ht="12.75">
      <c r="B534" s="226"/>
      <c r="C534" s="227"/>
      <c r="D534" s="226"/>
      <c r="E534" s="227"/>
      <c r="F534" s="227"/>
    </row>
    <row r="535" spans="2:6" ht="12.75">
      <c r="B535" s="226"/>
      <c r="C535" s="227"/>
      <c r="D535" s="226"/>
      <c r="E535" s="227"/>
      <c r="F535" s="227"/>
    </row>
    <row r="536" spans="2:6" ht="12.75">
      <c r="B536" s="226"/>
      <c r="C536" s="227"/>
      <c r="D536" s="226"/>
      <c r="E536" s="227"/>
      <c r="F536" s="227"/>
    </row>
    <row r="537" spans="2:6" ht="12.75">
      <c r="B537" s="226"/>
      <c r="C537" s="227"/>
      <c r="D537" s="226"/>
      <c r="E537" s="227"/>
      <c r="F537" s="227"/>
    </row>
    <row r="538" spans="2:6" ht="12.75">
      <c r="B538" s="226"/>
      <c r="C538" s="227"/>
      <c r="D538" s="226"/>
      <c r="E538" s="227"/>
      <c r="F538" s="227"/>
    </row>
    <row r="539" spans="2:6" ht="12.75">
      <c r="B539" s="226"/>
      <c r="C539" s="227"/>
      <c r="D539" s="226"/>
      <c r="E539" s="227"/>
      <c r="F539" s="227"/>
    </row>
    <row r="540" spans="2:6" ht="12.75">
      <c r="B540" s="226"/>
      <c r="C540" s="227"/>
      <c r="D540" s="226"/>
      <c r="E540" s="227"/>
      <c r="F540" s="227"/>
    </row>
    <row r="541" spans="2:6" ht="12.75">
      <c r="B541" s="226"/>
      <c r="C541" s="227"/>
      <c r="D541" s="226"/>
      <c r="E541" s="227"/>
      <c r="F541" s="227"/>
    </row>
    <row r="542" spans="2:6" ht="12.75">
      <c r="B542" s="226"/>
      <c r="C542" s="227"/>
      <c r="D542" s="226"/>
      <c r="E542" s="227"/>
      <c r="F542" s="227"/>
    </row>
    <row r="543" spans="2:6" ht="12.75">
      <c r="B543" s="226"/>
      <c r="C543" s="227"/>
      <c r="D543" s="226"/>
      <c r="E543" s="227"/>
      <c r="F543" s="227"/>
    </row>
    <row r="544" spans="2:6" ht="12.75">
      <c r="B544" s="226"/>
      <c r="C544" s="227"/>
      <c r="D544" s="226"/>
      <c r="E544" s="227"/>
      <c r="F544" s="227"/>
    </row>
    <row r="545" spans="2:6" ht="12.75">
      <c r="B545" s="226"/>
      <c r="C545" s="227"/>
      <c r="D545" s="226"/>
      <c r="E545" s="227"/>
      <c r="F545" s="227"/>
    </row>
    <row r="546" spans="2:6" ht="12.75">
      <c r="B546" s="226"/>
      <c r="C546" s="227"/>
      <c r="D546" s="226"/>
      <c r="E546" s="227"/>
      <c r="F546" s="227"/>
    </row>
    <row r="547" spans="2:6" ht="12.75">
      <c r="B547" s="226"/>
      <c r="C547" s="227"/>
      <c r="D547" s="226"/>
      <c r="E547" s="227"/>
      <c r="F547" s="227"/>
    </row>
    <row r="548" spans="2:6" ht="12.75">
      <c r="B548" s="226"/>
      <c r="C548" s="227"/>
      <c r="D548" s="226"/>
      <c r="E548" s="227"/>
      <c r="F548" s="227"/>
    </row>
    <row r="549" spans="2:6" ht="12.75">
      <c r="B549" s="226"/>
      <c r="C549" s="227"/>
      <c r="D549" s="226"/>
      <c r="E549" s="227"/>
      <c r="F549" s="227"/>
    </row>
    <row r="550" spans="2:6" ht="12.75">
      <c r="B550" s="226"/>
      <c r="C550" s="227"/>
      <c r="D550" s="226"/>
      <c r="E550" s="227"/>
      <c r="F550" s="227"/>
    </row>
    <row r="551" spans="2:6" ht="12.75">
      <c r="B551" s="226"/>
      <c r="C551" s="227"/>
      <c r="D551" s="226"/>
      <c r="E551" s="227"/>
      <c r="F551" s="227"/>
    </row>
    <row r="552" spans="2:6" ht="12.75">
      <c r="B552" s="226"/>
      <c r="C552" s="227"/>
      <c r="D552" s="226"/>
      <c r="E552" s="227"/>
      <c r="F552" s="227"/>
    </row>
    <row r="553" spans="2:6" ht="12.75">
      <c r="B553" s="226"/>
      <c r="C553" s="227"/>
      <c r="D553" s="226"/>
      <c r="E553" s="227"/>
      <c r="F553" s="227"/>
    </row>
    <row r="554" spans="2:6" ht="12.75">
      <c r="B554" s="226"/>
      <c r="C554" s="227"/>
      <c r="D554" s="226"/>
      <c r="E554" s="227"/>
      <c r="F554" s="227"/>
    </row>
    <row r="555" spans="2:6" ht="12.75">
      <c r="B555" s="226"/>
      <c r="C555" s="227"/>
      <c r="D555" s="226"/>
      <c r="E555" s="227"/>
      <c r="F555" s="227"/>
    </row>
    <row r="556" spans="2:6" ht="12.75">
      <c r="B556" s="226"/>
      <c r="C556" s="227"/>
      <c r="D556" s="226"/>
      <c r="E556" s="227"/>
      <c r="F556" s="227"/>
    </row>
    <row r="557" spans="2:6" ht="12.75">
      <c r="B557" s="226"/>
      <c r="C557" s="227"/>
      <c r="D557" s="226"/>
      <c r="E557" s="227"/>
      <c r="F557" s="227"/>
    </row>
    <row r="558" spans="2:6" ht="12.75">
      <c r="B558" s="226"/>
      <c r="C558" s="227"/>
      <c r="D558" s="226"/>
      <c r="E558" s="227"/>
      <c r="F558" s="227"/>
    </row>
    <row r="559" spans="2:6" ht="12.75">
      <c r="B559" s="226"/>
      <c r="C559" s="227"/>
      <c r="D559" s="226"/>
      <c r="E559" s="227"/>
      <c r="F559" s="227"/>
    </row>
    <row r="560" spans="2:6" ht="12.75">
      <c r="B560" s="226"/>
      <c r="C560" s="227"/>
      <c r="D560" s="226"/>
      <c r="E560" s="227"/>
      <c r="F560" s="227"/>
    </row>
    <row r="561" spans="2:6" ht="12.75">
      <c r="B561" s="226"/>
      <c r="C561" s="227"/>
      <c r="D561" s="226"/>
      <c r="E561" s="227"/>
      <c r="F561" s="227"/>
    </row>
    <row r="562" spans="2:6" ht="12.75">
      <c r="B562" s="226"/>
      <c r="C562" s="227"/>
      <c r="D562" s="226"/>
      <c r="E562" s="227"/>
      <c r="F562" s="227"/>
    </row>
    <row r="563" spans="2:6" ht="12.75">
      <c r="B563" s="226"/>
      <c r="C563" s="227"/>
      <c r="D563" s="226"/>
      <c r="E563" s="227"/>
      <c r="F563" s="227"/>
    </row>
    <row r="564" spans="2:6" ht="12.75">
      <c r="B564" s="226"/>
      <c r="C564" s="227"/>
      <c r="D564" s="226"/>
      <c r="E564" s="227"/>
      <c r="F564" s="227"/>
    </row>
    <row r="565" spans="2:6" ht="12.75">
      <c r="B565" s="226"/>
      <c r="C565" s="227"/>
      <c r="D565" s="226"/>
      <c r="E565" s="227"/>
      <c r="F565" s="227"/>
    </row>
    <row r="566" spans="2:6" ht="12.75">
      <c r="B566" s="226"/>
      <c r="C566" s="227"/>
      <c r="D566" s="226"/>
      <c r="E566" s="227"/>
      <c r="F566" s="227"/>
    </row>
    <row r="567" spans="2:6" ht="12.75">
      <c r="B567" s="226"/>
      <c r="C567" s="227"/>
      <c r="D567" s="226"/>
      <c r="E567" s="227"/>
      <c r="F567" s="227"/>
    </row>
    <row r="568" spans="2:6" ht="12.75">
      <c r="B568" s="226"/>
      <c r="C568" s="227"/>
      <c r="D568" s="226"/>
      <c r="E568" s="227"/>
      <c r="F568" s="227"/>
    </row>
    <row r="569" spans="2:6" ht="12.75">
      <c r="B569" s="226"/>
      <c r="C569" s="227"/>
      <c r="D569" s="226"/>
      <c r="E569" s="227"/>
      <c r="F569" s="227"/>
    </row>
    <row r="570" spans="2:6" ht="12.75">
      <c r="B570" s="226"/>
      <c r="C570" s="227"/>
      <c r="D570" s="226"/>
      <c r="E570" s="227"/>
      <c r="F570" s="227"/>
    </row>
    <row r="571" spans="2:6" ht="12.75">
      <c r="B571" s="226"/>
      <c r="C571" s="227"/>
      <c r="D571" s="226"/>
      <c r="E571" s="227"/>
      <c r="F571" s="227"/>
    </row>
    <row r="572" spans="2:6" ht="12.75">
      <c r="B572" s="226"/>
      <c r="C572" s="227"/>
      <c r="D572" s="226"/>
      <c r="E572" s="227"/>
      <c r="F572" s="227"/>
    </row>
    <row r="573" spans="2:6" ht="12.75">
      <c r="B573" s="226"/>
      <c r="C573" s="227"/>
      <c r="D573" s="226"/>
      <c r="E573" s="227"/>
      <c r="F573" s="227"/>
    </row>
    <row r="574" spans="2:6" ht="12.75">
      <c r="B574" s="226"/>
      <c r="C574" s="227"/>
      <c r="D574" s="226"/>
      <c r="E574" s="227"/>
      <c r="F574" s="227"/>
    </row>
    <row r="575" spans="2:6" ht="12.75">
      <c r="B575" s="226"/>
      <c r="C575" s="227"/>
      <c r="D575" s="226"/>
      <c r="E575" s="227"/>
      <c r="F575" s="227"/>
    </row>
    <row r="576" spans="2:6" ht="12.75">
      <c r="B576" s="226"/>
      <c r="C576" s="227"/>
      <c r="D576" s="226"/>
      <c r="E576" s="227"/>
      <c r="F576" s="227"/>
    </row>
    <row r="577" spans="2:6" ht="12.75">
      <c r="B577" s="226"/>
      <c r="C577" s="227"/>
      <c r="D577" s="226"/>
      <c r="E577" s="227"/>
      <c r="F577" s="227"/>
    </row>
    <row r="578" spans="2:6" ht="12.75">
      <c r="B578" s="226"/>
      <c r="C578" s="227"/>
      <c r="D578" s="226"/>
      <c r="E578" s="227"/>
      <c r="F578" s="227"/>
    </row>
    <row r="579" spans="2:6" ht="12.75">
      <c r="B579" s="226"/>
      <c r="C579" s="227"/>
      <c r="D579" s="226"/>
      <c r="E579" s="227"/>
      <c r="F579" s="227"/>
    </row>
    <row r="580" spans="2:6" ht="12.75">
      <c r="B580" s="226"/>
      <c r="C580" s="227"/>
      <c r="D580" s="226"/>
      <c r="E580" s="227"/>
      <c r="F580" s="227"/>
    </row>
    <row r="581" spans="2:6" ht="12.75">
      <c r="B581" s="226"/>
      <c r="C581" s="227"/>
      <c r="D581" s="226"/>
      <c r="E581" s="227"/>
      <c r="F581" s="227"/>
    </row>
    <row r="582" spans="2:6" ht="12.75">
      <c r="B582" s="226"/>
      <c r="C582" s="227"/>
      <c r="D582" s="226"/>
      <c r="E582" s="227"/>
      <c r="F582" s="227"/>
    </row>
    <row r="583" spans="2:6" ht="12.75">
      <c r="B583" s="226"/>
      <c r="C583" s="227"/>
      <c r="D583" s="226"/>
      <c r="E583" s="227"/>
      <c r="F583" s="227"/>
    </row>
    <row r="584" spans="2:6" ht="12.75">
      <c r="B584" s="226"/>
      <c r="C584" s="227"/>
      <c r="D584" s="226"/>
      <c r="E584" s="227"/>
      <c r="F584" s="227"/>
    </row>
    <row r="585" spans="2:6" ht="12.75">
      <c r="B585" s="226"/>
      <c r="C585" s="227"/>
      <c r="D585" s="226"/>
      <c r="E585" s="227"/>
      <c r="F585" s="227"/>
    </row>
    <row r="586" spans="2:6" ht="12.75">
      <c r="B586" s="226"/>
      <c r="C586" s="227"/>
      <c r="D586" s="226"/>
      <c r="E586" s="227"/>
      <c r="F586" s="227"/>
    </row>
    <row r="587" spans="2:6" ht="12.75">
      <c r="B587" s="226"/>
      <c r="C587" s="227"/>
      <c r="D587" s="226"/>
      <c r="E587" s="227"/>
      <c r="F587" s="227"/>
    </row>
    <row r="588" spans="2:6" ht="12.75">
      <c r="B588" s="226"/>
      <c r="C588" s="227"/>
      <c r="D588" s="226"/>
      <c r="E588" s="227"/>
      <c r="F588" s="227"/>
    </row>
    <row r="589" spans="2:6" ht="12.75">
      <c r="B589" s="226"/>
      <c r="C589" s="227"/>
      <c r="D589" s="226"/>
      <c r="E589" s="227"/>
      <c r="F589" s="227"/>
    </row>
    <row r="590" spans="2:6" ht="12.75">
      <c r="B590" s="226"/>
      <c r="C590" s="227"/>
      <c r="D590" s="226"/>
      <c r="E590" s="227"/>
      <c r="F590" s="227"/>
    </row>
    <row r="591" spans="2:6" ht="12.75">
      <c r="B591" s="226"/>
      <c r="C591" s="227"/>
      <c r="D591" s="226"/>
      <c r="E591" s="227"/>
      <c r="F591" s="227"/>
    </row>
    <row r="592" spans="2:6" ht="12.75">
      <c r="B592" s="226"/>
      <c r="C592" s="227"/>
      <c r="D592" s="226"/>
      <c r="E592" s="227"/>
      <c r="F592" s="227"/>
    </row>
    <row r="593" spans="2:6" ht="12.75">
      <c r="B593" s="226"/>
      <c r="C593" s="227"/>
      <c r="D593" s="226"/>
      <c r="E593" s="227"/>
      <c r="F593" s="227"/>
    </row>
    <row r="594" spans="2:6" ht="12.75">
      <c r="B594" s="226"/>
      <c r="C594" s="227"/>
      <c r="D594" s="226"/>
      <c r="E594" s="227"/>
      <c r="F594" s="227"/>
    </row>
    <row r="595" spans="2:6" ht="12.75">
      <c r="B595" s="226"/>
      <c r="C595" s="227"/>
      <c r="D595" s="226"/>
      <c r="E595" s="227"/>
      <c r="F595" s="227"/>
    </row>
    <row r="596" spans="2:6" ht="12.75">
      <c r="B596" s="226"/>
      <c r="C596" s="227"/>
      <c r="D596" s="226"/>
      <c r="E596" s="227"/>
      <c r="F596" s="227"/>
    </row>
    <row r="597" spans="2:6" ht="12.75">
      <c r="B597" s="226"/>
      <c r="C597" s="227"/>
      <c r="D597" s="226"/>
      <c r="E597" s="227"/>
      <c r="F597" s="227"/>
    </row>
    <row r="598" spans="2:6" ht="12.75">
      <c r="B598" s="226"/>
      <c r="C598" s="227"/>
      <c r="D598" s="226"/>
      <c r="E598" s="227"/>
      <c r="F598" s="227"/>
    </row>
    <row r="599" spans="2:6" ht="12.75">
      <c r="B599" s="226"/>
      <c r="C599" s="227"/>
      <c r="D599" s="226"/>
      <c r="E599" s="227"/>
      <c r="F599" s="227"/>
    </row>
    <row r="600" spans="2:6" ht="12.75">
      <c r="B600" s="226"/>
      <c r="C600" s="227"/>
      <c r="D600" s="226"/>
      <c r="E600" s="227"/>
      <c r="F600" s="227"/>
    </row>
    <row r="601" spans="2:6" ht="12.75">
      <c r="B601" s="226"/>
      <c r="C601" s="227"/>
      <c r="D601" s="226"/>
      <c r="E601" s="227"/>
      <c r="F601" s="227"/>
    </row>
    <row r="602" spans="2:6" ht="12.75">
      <c r="B602" s="226"/>
      <c r="C602" s="227"/>
      <c r="D602" s="226"/>
      <c r="E602" s="227"/>
      <c r="F602" s="227"/>
    </row>
    <row r="603" spans="2:6" ht="12.75">
      <c r="B603" s="226"/>
      <c r="C603" s="227"/>
      <c r="D603" s="226"/>
      <c r="E603" s="227"/>
      <c r="F603" s="227"/>
    </row>
    <row r="604" spans="2:6" ht="12.75">
      <c r="B604" s="226"/>
      <c r="C604" s="227"/>
      <c r="D604" s="226"/>
      <c r="E604" s="227"/>
      <c r="F604" s="227"/>
    </row>
    <row r="605" spans="2:6" ht="12.75">
      <c r="B605" s="226"/>
      <c r="C605" s="227"/>
      <c r="D605" s="226"/>
      <c r="E605" s="227"/>
      <c r="F605" s="227"/>
    </row>
    <row r="606" spans="2:6" ht="12.75">
      <c r="B606" s="226"/>
      <c r="C606" s="227"/>
      <c r="D606" s="226"/>
      <c r="E606" s="227"/>
      <c r="F606" s="227"/>
    </row>
    <row r="607" spans="2:6" ht="12.75">
      <c r="B607" s="226"/>
      <c r="C607" s="227"/>
      <c r="D607" s="226"/>
      <c r="E607" s="227"/>
      <c r="F607" s="227"/>
    </row>
    <row r="608" spans="2:6" ht="12.75">
      <c r="B608" s="226"/>
      <c r="C608" s="227"/>
      <c r="D608" s="226"/>
      <c r="E608" s="227"/>
      <c r="F608" s="227"/>
    </row>
    <row r="609" spans="2:6" ht="12.75">
      <c r="B609" s="226"/>
      <c r="C609" s="227"/>
      <c r="D609" s="226"/>
      <c r="E609" s="227"/>
      <c r="F609" s="227"/>
    </row>
    <row r="610" spans="2:6" ht="12.75">
      <c r="B610" s="226"/>
      <c r="C610" s="227"/>
      <c r="D610" s="226"/>
      <c r="E610" s="227"/>
      <c r="F610" s="227"/>
    </row>
    <row r="611" spans="2:6" ht="12.75">
      <c r="B611" s="226"/>
      <c r="C611" s="227"/>
      <c r="D611" s="226"/>
      <c r="E611" s="227"/>
      <c r="F611" s="227"/>
    </row>
    <row r="612" spans="2:6" ht="12.75">
      <c r="B612" s="226"/>
      <c r="C612" s="227"/>
      <c r="D612" s="226"/>
      <c r="E612" s="227"/>
      <c r="F612" s="227"/>
    </row>
    <row r="613" spans="2:6" ht="12.75">
      <c r="B613" s="226"/>
      <c r="C613" s="227"/>
      <c r="D613" s="226"/>
      <c r="E613" s="227"/>
      <c r="F613" s="227"/>
    </row>
    <row r="614" spans="2:6" ht="12.75">
      <c r="B614" s="226"/>
      <c r="C614" s="227"/>
      <c r="D614" s="226"/>
      <c r="E614" s="227"/>
      <c r="F614" s="227"/>
    </row>
    <row r="615" spans="2:6" ht="12.75">
      <c r="B615" s="226"/>
      <c r="C615" s="227"/>
      <c r="D615" s="226"/>
      <c r="E615" s="227"/>
      <c r="F615" s="227"/>
    </row>
    <row r="616" spans="2:6" ht="12.75">
      <c r="B616" s="226"/>
      <c r="C616" s="227"/>
      <c r="D616" s="226"/>
      <c r="E616" s="227"/>
      <c r="F616" s="227"/>
    </row>
    <row r="617" spans="2:6" ht="12.75">
      <c r="B617" s="226"/>
      <c r="C617" s="227"/>
      <c r="D617" s="226"/>
      <c r="E617" s="227"/>
      <c r="F617" s="227"/>
    </row>
    <row r="618" spans="2:6" ht="12.75">
      <c r="B618" s="226"/>
      <c r="C618" s="227"/>
      <c r="D618" s="226"/>
      <c r="E618" s="227"/>
      <c r="F618" s="227"/>
    </row>
    <row r="619" spans="2:6" ht="12.75">
      <c r="B619" s="226"/>
      <c r="C619" s="227"/>
      <c r="D619" s="226"/>
      <c r="E619" s="227"/>
      <c r="F619" s="227"/>
    </row>
    <row r="620" spans="2:6" ht="12.75">
      <c r="B620" s="226"/>
      <c r="C620" s="227"/>
      <c r="D620" s="226"/>
      <c r="E620" s="227"/>
      <c r="F620" s="227"/>
    </row>
    <row r="621" spans="2:6" ht="12.75">
      <c r="B621" s="226"/>
      <c r="C621" s="227"/>
      <c r="D621" s="226"/>
      <c r="E621" s="227"/>
      <c r="F621" s="227"/>
    </row>
    <row r="622" spans="2:6" ht="12.75">
      <c r="B622" s="226"/>
      <c r="C622" s="227"/>
      <c r="D622" s="226"/>
      <c r="E622" s="227"/>
      <c r="F622" s="227"/>
    </row>
    <row r="623" spans="2:6" ht="12.75">
      <c r="B623" s="226"/>
      <c r="C623" s="227"/>
      <c r="D623" s="226"/>
      <c r="E623" s="227"/>
      <c r="F623" s="227"/>
    </row>
    <row r="624" spans="2:6" ht="12.75">
      <c r="B624" s="226"/>
      <c r="C624" s="227"/>
      <c r="D624" s="226"/>
      <c r="E624" s="227"/>
      <c r="F624" s="227"/>
    </row>
    <row r="625" spans="2:6" ht="12.75">
      <c r="B625" s="226"/>
      <c r="C625" s="227"/>
      <c r="D625" s="226"/>
      <c r="E625" s="227"/>
      <c r="F625" s="227"/>
    </row>
    <row r="626" spans="2:6" ht="12.75">
      <c r="B626" s="226"/>
      <c r="C626" s="227"/>
      <c r="D626" s="226"/>
      <c r="E626" s="227"/>
      <c r="F626" s="227"/>
    </row>
    <row r="627" spans="2:6" ht="12.75">
      <c r="B627" s="226"/>
      <c r="C627" s="227"/>
      <c r="D627" s="226"/>
      <c r="E627" s="227"/>
      <c r="F627" s="227"/>
    </row>
    <row r="628" spans="2:6" ht="12.75">
      <c r="B628" s="226"/>
      <c r="C628" s="227"/>
      <c r="D628" s="226"/>
      <c r="E628" s="227"/>
      <c r="F628" s="227"/>
    </row>
    <row r="629" spans="2:6" ht="12.75">
      <c r="B629" s="226"/>
      <c r="C629" s="227"/>
      <c r="D629" s="226"/>
      <c r="E629" s="227"/>
      <c r="F629" s="227"/>
    </row>
    <row r="630" spans="2:6" ht="12.75">
      <c r="B630" s="226"/>
      <c r="C630" s="227"/>
      <c r="D630" s="226"/>
      <c r="E630" s="227"/>
      <c r="F630" s="227"/>
    </row>
    <row r="631" spans="2:6" ht="12.75">
      <c r="B631" s="226"/>
      <c r="C631" s="227"/>
      <c r="D631" s="226"/>
      <c r="E631" s="227"/>
      <c r="F631" s="227"/>
    </row>
    <row r="632" spans="2:6" ht="12.75">
      <c r="B632" s="226"/>
      <c r="C632" s="227"/>
      <c r="D632" s="226"/>
      <c r="E632" s="227"/>
      <c r="F632" s="227"/>
    </row>
    <row r="633" spans="2:6" ht="12.75">
      <c r="B633" s="226"/>
      <c r="C633" s="227"/>
      <c r="D633" s="226"/>
      <c r="E633" s="227"/>
      <c r="F633" s="227"/>
    </row>
    <row r="634" spans="2:6" ht="12.75">
      <c r="B634" s="226"/>
      <c r="C634" s="227"/>
      <c r="D634" s="226"/>
      <c r="E634" s="227"/>
      <c r="F634" s="227"/>
    </row>
    <row r="635" spans="2:6" ht="12.75">
      <c r="B635" s="226"/>
      <c r="C635" s="227"/>
      <c r="D635" s="226"/>
      <c r="E635" s="227"/>
      <c r="F635" s="227"/>
    </row>
    <row r="636" spans="2:6" ht="12.75">
      <c r="B636" s="226"/>
      <c r="C636" s="227"/>
      <c r="D636" s="226"/>
      <c r="E636" s="227"/>
      <c r="F636" s="227"/>
    </row>
    <row r="637" spans="2:6" ht="12.75">
      <c r="B637" s="226"/>
      <c r="C637" s="227"/>
      <c r="D637" s="226"/>
      <c r="E637" s="227"/>
      <c r="F637" s="227"/>
    </row>
    <row r="638" spans="2:6" ht="12.75">
      <c r="B638" s="226"/>
      <c r="C638" s="227"/>
      <c r="D638" s="226"/>
      <c r="E638" s="227"/>
      <c r="F638" s="227"/>
    </row>
    <row r="639" spans="2:6" ht="12.75">
      <c r="B639" s="226"/>
      <c r="C639" s="227"/>
      <c r="D639" s="226"/>
      <c r="E639" s="227"/>
      <c r="F639" s="227"/>
    </row>
    <row r="640" spans="2:6" ht="12.75">
      <c r="B640" s="226"/>
      <c r="C640" s="227"/>
      <c r="D640" s="226"/>
      <c r="E640" s="227"/>
      <c r="F640" s="227"/>
    </row>
    <row r="641" spans="2:6" ht="12.75">
      <c r="B641" s="226"/>
      <c r="C641" s="227"/>
      <c r="D641" s="226"/>
      <c r="E641" s="227"/>
      <c r="F641" s="227"/>
    </row>
    <row r="642" spans="2:6" ht="12.75">
      <c r="B642" s="226"/>
      <c r="C642" s="227"/>
      <c r="D642" s="226"/>
      <c r="E642" s="227"/>
      <c r="F642" s="227"/>
    </row>
    <row r="643" spans="2:6" ht="12.75">
      <c r="B643" s="226"/>
      <c r="C643" s="227"/>
      <c r="D643" s="226"/>
      <c r="E643" s="227"/>
      <c r="F643" s="227"/>
    </row>
    <row r="644" spans="2:6" ht="12.75">
      <c r="B644" s="226"/>
      <c r="C644" s="227"/>
      <c r="D644" s="226"/>
      <c r="E644" s="227"/>
      <c r="F644" s="227"/>
    </row>
    <row r="645" spans="2:6" ht="12.75">
      <c r="B645" s="226"/>
      <c r="C645" s="227"/>
      <c r="D645" s="226"/>
      <c r="E645" s="227"/>
      <c r="F645" s="227"/>
    </row>
    <row r="646" spans="2:6" ht="12.75">
      <c r="B646" s="226"/>
      <c r="C646" s="227"/>
      <c r="D646" s="226"/>
      <c r="E646" s="227"/>
      <c r="F646" s="227"/>
    </row>
    <row r="647" spans="2:6" ht="12.75">
      <c r="B647" s="226"/>
      <c r="C647" s="227"/>
      <c r="D647" s="226"/>
      <c r="E647" s="227"/>
      <c r="F647" s="227"/>
    </row>
    <row r="648" spans="2:6" ht="12.75">
      <c r="B648" s="226"/>
      <c r="C648" s="227"/>
      <c r="D648" s="226"/>
      <c r="E648" s="227"/>
      <c r="F648" s="227"/>
    </row>
    <row r="649" spans="2:6" ht="12.75">
      <c r="B649" s="226"/>
      <c r="C649" s="227"/>
      <c r="D649" s="226"/>
      <c r="E649" s="227"/>
      <c r="F649" s="227"/>
    </row>
    <row r="650" spans="2:6" ht="12.75">
      <c r="B650" s="226"/>
      <c r="C650" s="227"/>
      <c r="D650" s="226"/>
      <c r="E650" s="227"/>
      <c r="F650" s="227"/>
    </row>
    <row r="651" spans="2:6" ht="12.75">
      <c r="B651" s="226"/>
      <c r="C651" s="227"/>
      <c r="D651" s="226"/>
      <c r="E651" s="227"/>
      <c r="F651" s="227"/>
    </row>
    <row r="652" spans="2:6" ht="12.75">
      <c r="B652" s="226"/>
      <c r="C652" s="227"/>
      <c r="D652" s="226"/>
      <c r="E652" s="227"/>
      <c r="F652" s="227"/>
    </row>
    <row r="653" spans="2:6" ht="12.75">
      <c r="B653" s="226"/>
      <c r="C653" s="227"/>
      <c r="D653" s="226"/>
      <c r="E653" s="227"/>
      <c r="F653" s="227"/>
    </row>
    <row r="654" spans="2:6" ht="12.75">
      <c r="B654" s="226"/>
      <c r="C654" s="227"/>
      <c r="D654" s="226"/>
      <c r="E654" s="227"/>
      <c r="F654" s="227"/>
    </row>
    <row r="655" spans="2:6" ht="12.75">
      <c r="B655" s="226"/>
      <c r="C655" s="227"/>
      <c r="D655" s="226"/>
      <c r="E655" s="227"/>
      <c r="F655" s="227"/>
    </row>
    <row r="656" spans="2:6" ht="12.75">
      <c r="B656" s="226"/>
      <c r="C656" s="227"/>
      <c r="D656" s="226"/>
      <c r="E656" s="227"/>
      <c r="F656" s="227"/>
    </row>
    <row r="657" spans="2:6" ht="12.75">
      <c r="B657" s="226"/>
      <c r="C657" s="227"/>
      <c r="D657" s="226"/>
      <c r="E657" s="227"/>
      <c r="F657" s="227"/>
    </row>
    <row r="658" spans="2:6" ht="12.75">
      <c r="B658" s="226"/>
      <c r="C658" s="227"/>
      <c r="D658" s="226"/>
      <c r="E658" s="227"/>
      <c r="F658" s="227"/>
    </row>
    <row r="659" spans="2:6" ht="12.75">
      <c r="B659" s="226"/>
      <c r="C659" s="227"/>
      <c r="D659" s="226"/>
      <c r="E659" s="227"/>
      <c r="F659" s="227"/>
    </row>
    <row r="660" spans="2:6" ht="12.75">
      <c r="B660" s="226"/>
      <c r="C660" s="227"/>
      <c r="D660" s="226"/>
      <c r="E660" s="227"/>
      <c r="F660" s="227"/>
    </row>
    <row r="661" spans="2:6" ht="12.75">
      <c r="B661" s="226"/>
      <c r="C661" s="227"/>
      <c r="D661" s="226"/>
      <c r="E661" s="227"/>
      <c r="F661" s="227"/>
    </row>
    <row r="662" spans="2:6" ht="12.75">
      <c r="B662" s="226"/>
      <c r="C662" s="227"/>
      <c r="D662" s="226"/>
      <c r="E662" s="227"/>
      <c r="F662" s="227"/>
    </row>
    <row r="663" spans="2:6" ht="12.75">
      <c r="B663" s="226"/>
      <c r="C663" s="227"/>
      <c r="D663" s="226"/>
      <c r="E663" s="227"/>
      <c r="F663" s="227"/>
    </row>
    <row r="664" spans="2:6" ht="12.75">
      <c r="B664" s="226"/>
      <c r="C664" s="227"/>
      <c r="D664" s="226"/>
      <c r="E664" s="227"/>
      <c r="F664" s="227"/>
    </row>
    <row r="665" spans="2:6" ht="12.75">
      <c r="B665" s="226"/>
      <c r="C665" s="227"/>
      <c r="D665" s="226"/>
      <c r="E665" s="227"/>
      <c r="F665" s="227"/>
    </row>
    <row r="666" spans="2:6" ht="12.75">
      <c r="B666" s="226"/>
      <c r="C666" s="227"/>
      <c r="D666" s="226"/>
      <c r="E666" s="227"/>
      <c r="F666" s="227"/>
    </row>
    <row r="667" spans="2:6" ht="12.75">
      <c r="B667" s="226"/>
      <c r="C667" s="227"/>
      <c r="D667" s="226"/>
      <c r="E667" s="227"/>
      <c r="F667" s="227"/>
    </row>
    <row r="668" spans="2:6" ht="12.75">
      <c r="B668" s="226"/>
      <c r="C668" s="227"/>
      <c r="D668" s="226"/>
      <c r="E668" s="227"/>
      <c r="F668" s="227"/>
    </row>
    <row r="669" spans="2:6" ht="12.75">
      <c r="B669" s="226"/>
      <c r="C669" s="227"/>
      <c r="D669" s="226"/>
      <c r="E669" s="227"/>
      <c r="F669" s="227"/>
    </row>
    <row r="670" spans="2:6" ht="12.75">
      <c r="B670" s="226"/>
      <c r="C670" s="227"/>
      <c r="D670" s="226"/>
      <c r="E670" s="227"/>
      <c r="F670" s="227"/>
    </row>
    <row r="671" spans="2:6" ht="12.75">
      <c r="B671" s="226"/>
      <c r="C671" s="227"/>
      <c r="D671" s="226"/>
      <c r="E671" s="227"/>
      <c r="F671" s="227"/>
    </row>
    <row r="672" spans="2:6" ht="12.75">
      <c r="B672" s="226"/>
      <c r="C672" s="227"/>
      <c r="D672" s="226"/>
      <c r="E672" s="227"/>
      <c r="F672" s="227"/>
    </row>
    <row r="673" spans="2:6" ht="12.75">
      <c r="B673" s="226"/>
      <c r="C673" s="227"/>
      <c r="D673" s="226"/>
      <c r="E673" s="227"/>
      <c r="F673" s="227"/>
    </row>
    <row r="674" spans="2:6" ht="12.75">
      <c r="B674" s="226"/>
      <c r="C674" s="227"/>
      <c r="D674" s="226"/>
      <c r="E674" s="227"/>
      <c r="F674" s="227"/>
    </row>
    <row r="675" spans="2:6" ht="12.75">
      <c r="B675" s="226"/>
      <c r="C675" s="227"/>
      <c r="D675" s="226"/>
      <c r="E675" s="227"/>
      <c r="F675" s="227"/>
    </row>
    <row r="676" spans="2:6" ht="12.75">
      <c r="B676" s="226"/>
      <c r="C676" s="227"/>
      <c r="D676" s="226"/>
      <c r="E676" s="227"/>
      <c r="F676" s="227"/>
    </row>
    <row r="677" spans="2:6" ht="12.75">
      <c r="B677" s="226"/>
      <c r="C677" s="227"/>
      <c r="D677" s="226"/>
      <c r="E677" s="227"/>
      <c r="F677" s="227"/>
    </row>
    <row r="678" spans="2:6" ht="12.75">
      <c r="B678" s="226"/>
      <c r="C678" s="227"/>
      <c r="D678" s="226"/>
      <c r="E678" s="227"/>
      <c r="F678" s="227"/>
    </row>
    <row r="679" spans="2:6" ht="12.75">
      <c r="B679" s="226"/>
      <c r="C679" s="227"/>
      <c r="D679" s="226"/>
      <c r="E679" s="227"/>
      <c r="F679" s="227"/>
    </row>
    <row r="680" spans="2:6" ht="12.75">
      <c r="B680" s="226"/>
      <c r="C680" s="227"/>
      <c r="D680" s="226"/>
      <c r="E680" s="227"/>
      <c r="F680" s="227"/>
    </row>
    <row r="681" spans="2:6" ht="12.75">
      <c r="B681" s="226"/>
      <c r="C681" s="227"/>
      <c r="D681" s="226"/>
      <c r="E681" s="227"/>
      <c r="F681" s="227"/>
    </row>
    <row r="682" spans="2:6" ht="12.75">
      <c r="B682" s="226"/>
      <c r="C682" s="227"/>
      <c r="D682" s="226"/>
      <c r="E682" s="227"/>
      <c r="F682" s="227"/>
    </row>
    <row r="683" spans="2:6" ht="12.75">
      <c r="B683" s="226"/>
      <c r="C683" s="227"/>
      <c r="D683" s="226"/>
      <c r="E683" s="227"/>
      <c r="F683" s="227"/>
    </row>
    <row r="684" spans="2:6" ht="12.75">
      <c r="B684" s="226"/>
      <c r="C684" s="227"/>
      <c r="D684" s="226"/>
      <c r="E684" s="227"/>
      <c r="F684" s="227"/>
    </row>
    <row r="685" spans="2:6" ht="12.75">
      <c r="B685" s="226"/>
      <c r="C685" s="227"/>
      <c r="D685" s="226"/>
      <c r="E685" s="227"/>
      <c r="F685" s="227"/>
    </row>
    <row r="686" spans="2:6" ht="12.75">
      <c r="B686" s="226"/>
      <c r="C686" s="227"/>
      <c r="D686" s="226"/>
      <c r="E686" s="227"/>
      <c r="F686" s="227"/>
    </row>
    <row r="687" spans="2:6" ht="12.75">
      <c r="B687" s="226"/>
      <c r="C687" s="227"/>
      <c r="D687" s="226"/>
      <c r="E687" s="227"/>
      <c r="F687" s="227"/>
    </row>
    <row r="688" spans="2:6" ht="12.75">
      <c r="B688" s="226"/>
      <c r="C688" s="227"/>
      <c r="D688" s="226"/>
      <c r="E688" s="227"/>
      <c r="F688" s="227"/>
    </row>
    <row r="689" spans="2:6" ht="12.75">
      <c r="B689" s="226"/>
      <c r="C689" s="227"/>
      <c r="D689" s="226"/>
      <c r="E689" s="227"/>
      <c r="F689" s="227"/>
    </row>
    <row r="690" spans="2:6" ht="12.75">
      <c r="B690" s="226"/>
      <c r="C690" s="227"/>
      <c r="D690" s="226"/>
      <c r="E690" s="227"/>
      <c r="F690" s="227"/>
    </row>
    <row r="691" spans="2:6" ht="12.75">
      <c r="B691" s="226"/>
      <c r="C691" s="227"/>
      <c r="D691" s="226"/>
      <c r="E691" s="227"/>
      <c r="F691" s="227"/>
    </row>
    <row r="692" spans="2:6" ht="12.75">
      <c r="B692" s="226"/>
      <c r="C692" s="227"/>
      <c r="D692" s="226"/>
      <c r="E692" s="227"/>
      <c r="F692" s="227"/>
    </row>
    <row r="693" spans="2:6" ht="12.75">
      <c r="B693" s="226"/>
      <c r="C693" s="227"/>
      <c r="D693" s="226"/>
      <c r="E693" s="227"/>
      <c r="F693" s="227"/>
    </row>
    <row r="694" spans="2:6" ht="12.75">
      <c r="B694" s="226"/>
      <c r="C694" s="227"/>
      <c r="D694" s="226"/>
      <c r="E694" s="227"/>
      <c r="F694" s="227"/>
    </row>
    <row r="695" spans="2:6" ht="12.75">
      <c r="B695" s="226"/>
      <c r="C695" s="227"/>
      <c r="D695" s="226"/>
      <c r="E695" s="227"/>
      <c r="F695" s="227"/>
    </row>
    <row r="696" spans="2:6" ht="12.75">
      <c r="B696" s="226"/>
      <c r="C696" s="227"/>
      <c r="D696" s="226"/>
      <c r="E696" s="227"/>
      <c r="F696" s="227"/>
    </row>
    <row r="697" spans="2:6" ht="12.75">
      <c r="B697" s="226"/>
      <c r="C697" s="227"/>
      <c r="D697" s="226"/>
      <c r="E697" s="227"/>
      <c r="F697" s="227"/>
    </row>
    <row r="698" spans="2:6" ht="12.75">
      <c r="B698" s="226"/>
      <c r="C698" s="227"/>
      <c r="D698" s="226"/>
      <c r="E698" s="227"/>
      <c r="F698" s="227"/>
    </row>
    <row r="699" spans="2:6" ht="12.75">
      <c r="B699" s="226"/>
      <c r="C699" s="227"/>
      <c r="D699" s="226"/>
      <c r="E699" s="227"/>
      <c r="F699" s="227"/>
    </row>
    <row r="700" spans="2:6" ht="12.75">
      <c r="B700" s="226"/>
      <c r="C700" s="227"/>
      <c r="D700" s="226"/>
      <c r="E700" s="227"/>
      <c r="F700" s="227"/>
    </row>
    <row r="701" spans="2:6" ht="12.75">
      <c r="B701" s="226"/>
      <c r="C701" s="227"/>
      <c r="D701" s="226"/>
      <c r="E701" s="227"/>
      <c r="F701" s="227"/>
    </row>
    <row r="702" spans="2:6" ht="12.75">
      <c r="B702" s="226"/>
      <c r="C702" s="227"/>
      <c r="D702" s="226"/>
      <c r="E702" s="227"/>
      <c r="F702" s="227"/>
    </row>
    <row r="703" spans="2:6" ht="12.75">
      <c r="B703" s="226"/>
      <c r="C703" s="227"/>
      <c r="D703" s="226"/>
      <c r="E703" s="227"/>
      <c r="F703" s="227"/>
    </row>
    <row r="704" spans="2:6" ht="12.75">
      <c r="B704" s="226"/>
      <c r="C704" s="227"/>
      <c r="D704" s="226"/>
      <c r="E704" s="227"/>
      <c r="F704" s="227"/>
    </row>
    <row r="705" spans="2:6" ht="12.75">
      <c r="B705" s="226"/>
      <c r="C705" s="227"/>
      <c r="D705" s="226"/>
      <c r="E705" s="227"/>
      <c r="F705" s="227"/>
    </row>
    <row r="706" spans="2:6" ht="12.75">
      <c r="B706" s="226"/>
      <c r="C706" s="227"/>
      <c r="D706" s="226"/>
      <c r="E706" s="227"/>
      <c r="F706" s="227"/>
    </row>
    <row r="707" spans="2:6" ht="12.75">
      <c r="B707" s="226"/>
      <c r="C707" s="227"/>
      <c r="D707" s="226"/>
      <c r="E707" s="227"/>
      <c r="F707" s="227"/>
    </row>
    <row r="708" spans="2:6" ht="12.75">
      <c r="B708" s="226"/>
      <c r="C708" s="227"/>
      <c r="D708" s="226"/>
      <c r="E708" s="227"/>
      <c r="F708" s="227"/>
    </row>
    <row r="709" spans="2:6" ht="12.75">
      <c r="B709" s="226"/>
      <c r="C709" s="227"/>
      <c r="D709" s="226"/>
      <c r="E709" s="227"/>
      <c r="F709" s="227"/>
    </row>
    <row r="710" spans="2:6" ht="12.75">
      <c r="B710" s="226"/>
      <c r="C710" s="227"/>
      <c r="D710" s="226"/>
      <c r="E710" s="227"/>
      <c r="F710" s="227"/>
    </row>
    <row r="711" spans="2:6" ht="12.75">
      <c r="B711" s="226"/>
      <c r="C711" s="227"/>
      <c r="D711" s="226"/>
      <c r="E711" s="227"/>
      <c r="F711" s="227"/>
    </row>
    <row r="712" spans="2:6" ht="12.75">
      <c r="B712" s="226"/>
      <c r="C712" s="227"/>
      <c r="D712" s="226"/>
      <c r="E712" s="227"/>
      <c r="F712" s="227"/>
    </row>
    <row r="713" spans="2:6" ht="12.75">
      <c r="B713" s="226"/>
      <c r="C713" s="227"/>
      <c r="D713" s="226"/>
      <c r="E713" s="227"/>
      <c r="F713" s="227"/>
    </row>
    <row r="714" spans="2:6" ht="12.75">
      <c r="B714" s="226"/>
      <c r="C714" s="227"/>
      <c r="D714" s="226"/>
      <c r="E714" s="227"/>
      <c r="F714" s="227"/>
    </row>
    <row r="715" spans="2:6" ht="12.75">
      <c r="B715" s="226"/>
      <c r="C715" s="227"/>
      <c r="D715" s="226"/>
      <c r="E715" s="227"/>
      <c r="F715" s="227"/>
    </row>
    <row r="716" spans="2:6" ht="12.75">
      <c r="B716" s="226"/>
      <c r="C716" s="227"/>
      <c r="D716" s="226"/>
      <c r="E716" s="227"/>
      <c r="F716" s="227"/>
    </row>
    <row r="717" spans="2:6" ht="12.75">
      <c r="B717" s="226"/>
      <c r="C717" s="227"/>
      <c r="D717" s="226"/>
      <c r="E717" s="227"/>
      <c r="F717" s="227"/>
    </row>
    <row r="718" spans="2:6" ht="12.75">
      <c r="B718" s="226"/>
      <c r="C718" s="227"/>
      <c r="D718" s="226"/>
      <c r="E718" s="227"/>
      <c r="F718" s="227"/>
    </row>
    <row r="719" spans="2:6" ht="12.75">
      <c r="B719" s="226"/>
      <c r="C719" s="227"/>
      <c r="D719" s="226"/>
      <c r="E719" s="227"/>
      <c r="F719" s="227"/>
    </row>
    <row r="720" spans="2:6" ht="12.75">
      <c r="B720" s="226"/>
      <c r="C720" s="227"/>
      <c r="D720" s="226"/>
      <c r="E720" s="227"/>
      <c r="F720" s="227"/>
    </row>
    <row r="721" spans="2:6" ht="12.75">
      <c r="B721" s="226"/>
      <c r="C721" s="227"/>
      <c r="D721" s="226"/>
      <c r="E721" s="227"/>
      <c r="F721" s="227"/>
    </row>
    <row r="722" spans="2:6" ht="12.75">
      <c r="B722" s="226"/>
      <c r="C722" s="227"/>
      <c r="D722" s="226"/>
      <c r="E722" s="227"/>
      <c r="F722" s="227"/>
    </row>
    <row r="723" spans="2:6" ht="12.75">
      <c r="B723" s="226"/>
      <c r="C723" s="227"/>
      <c r="D723" s="226"/>
      <c r="E723" s="227"/>
      <c r="F723" s="227"/>
    </row>
    <row r="724" spans="2:6" ht="12.75">
      <c r="B724" s="226"/>
      <c r="C724" s="227"/>
      <c r="D724" s="226"/>
      <c r="E724" s="227"/>
      <c r="F724" s="227"/>
    </row>
    <row r="725" spans="2:6" ht="12.75">
      <c r="B725" s="226"/>
      <c r="C725" s="227"/>
      <c r="D725" s="226"/>
      <c r="E725" s="227"/>
      <c r="F725" s="227"/>
    </row>
    <row r="726" spans="2:6" ht="12.75">
      <c r="B726" s="226"/>
      <c r="C726" s="227"/>
      <c r="D726" s="226"/>
      <c r="E726" s="227"/>
      <c r="F726" s="227"/>
    </row>
    <row r="727" spans="2:6" ht="12.75">
      <c r="B727" s="226"/>
      <c r="C727" s="227"/>
      <c r="D727" s="226"/>
      <c r="E727" s="227"/>
      <c r="F727" s="227"/>
    </row>
    <row r="728" spans="2:6" ht="12.75">
      <c r="B728" s="226"/>
      <c r="C728" s="227"/>
      <c r="D728" s="226"/>
      <c r="E728" s="227"/>
      <c r="F728" s="227"/>
    </row>
    <row r="729" spans="2:6" ht="12.75">
      <c r="B729" s="226"/>
      <c r="C729" s="227"/>
      <c r="D729" s="226"/>
      <c r="E729" s="227"/>
      <c r="F729" s="227"/>
    </row>
    <row r="730" spans="2:6" ht="12.75">
      <c r="B730" s="226"/>
      <c r="C730" s="227"/>
      <c r="D730" s="226"/>
      <c r="E730" s="227"/>
      <c r="F730" s="227"/>
    </row>
    <row r="731" spans="2:6" ht="12.75">
      <c r="B731" s="226"/>
      <c r="C731" s="227"/>
      <c r="D731" s="226"/>
      <c r="E731" s="227"/>
      <c r="F731" s="227"/>
    </row>
    <row r="732" spans="2:6" ht="12.75">
      <c r="B732" s="226"/>
      <c r="C732" s="227"/>
      <c r="D732" s="226"/>
      <c r="E732" s="227"/>
      <c r="F732" s="227"/>
    </row>
    <row r="733" spans="2:6" ht="12.75">
      <c r="B733" s="226"/>
      <c r="C733" s="227"/>
      <c r="D733" s="226"/>
      <c r="E733" s="227"/>
      <c r="F733" s="227"/>
    </row>
    <row r="734" spans="2:6" ht="12.75">
      <c r="B734" s="226"/>
      <c r="C734" s="227"/>
      <c r="D734" s="226"/>
      <c r="E734" s="227"/>
      <c r="F734" s="227"/>
    </row>
    <row r="735" spans="2:6" ht="12.75">
      <c r="B735" s="226"/>
      <c r="C735" s="227"/>
      <c r="D735" s="226"/>
      <c r="E735" s="227"/>
      <c r="F735" s="227"/>
    </row>
    <row r="736" spans="2:6" ht="12.75">
      <c r="B736" s="226"/>
      <c r="C736" s="227"/>
      <c r="D736" s="226"/>
      <c r="E736" s="227"/>
      <c r="F736" s="227"/>
    </row>
    <row r="737" spans="2:6" ht="12.75">
      <c r="B737" s="226"/>
      <c r="C737" s="227"/>
      <c r="D737" s="226"/>
      <c r="E737" s="227"/>
      <c r="F737" s="227"/>
    </row>
    <row r="738" spans="2:6" ht="12.75">
      <c r="B738" s="226"/>
      <c r="C738" s="227"/>
      <c r="D738" s="226"/>
      <c r="E738" s="227"/>
      <c r="F738" s="227"/>
    </row>
    <row r="739" spans="2:6" ht="12.75">
      <c r="B739" s="226"/>
      <c r="C739" s="227"/>
      <c r="D739" s="226"/>
      <c r="E739" s="227"/>
      <c r="F739" s="227"/>
    </row>
    <row r="740" spans="2:6" ht="12.75">
      <c r="B740" s="226"/>
      <c r="C740" s="227"/>
      <c r="D740" s="226"/>
      <c r="E740" s="227"/>
      <c r="F740" s="227"/>
    </row>
    <row r="741" spans="2:6" ht="12.75">
      <c r="B741" s="226"/>
      <c r="C741" s="227"/>
      <c r="D741" s="226"/>
      <c r="E741" s="227"/>
      <c r="F741" s="227"/>
    </row>
    <row r="742" spans="2:6" ht="12.75">
      <c r="B742" s="226"/>
      <c r="C742" s="227"/>
      <c r="D742" s="226"/>
      <c r="E742" s="227"/>
      <c r="F742" s="227"/>
    </row>
    <row r="743" spans="2:6" ht="12.75">
      <c r="B743" s="226"/>
      <c r="C743" s="227"/>
      <c r="D743" s="226"/>
      <c r="E743" s="227"/>
      <c r="F743" s="227"/>
    </row>
    <row r="744" spans="2:6" ht="12.75">
      <c r="B744" s="226"/>
      <c r="C744" s="227"/>
      <c r="D744" s="226"/>
      <c r="E744" s="227"/>
      <c r="F744" s="227"/>
    </row>
    <row r="745" spans="2:6" ht="12.75">
      <c r="B745" s="226"/>
      <c r="C745" s="227"/>
      <c r="D745" s="226"/>
      <c r="E745" s="227"/>
      <c r="F745" s="227"/>
    </row>
    <row r="746" spans="2:6" ht="12.75">
      <c r="B746" s="226"/>
      <c r="C746" s="227"/>
      <c r="D746" s="226"/>
      <c r="E746" s="227"/>
      <c r="F746" s="227"/>
    </row>
    <row r="747" spans="2:6" ht="12.75">
      <c r="B747" s="226"/>
      <c r="C747" s="227"/>
      <c r="D747" s="226"/>
      <c r="E747" s="227"/>
      <c r="F747" s="227"/>
    </row>
    <row r="748" spans="2:6" ht="12.75">
      <c r="B748" s="226"/>
      <c r="C748" s="227"/>
      <c r="D748" s="226"/>
      <c r="E748" s="227"/>
      <c r="F748" s="227"/>
    </row>
    <row r="749" spans="2:6" ht="12.75">
      <c r="B749" s="226"/>
      <c r="C749" s="227"/>
      <c r="D749" s="226"/>
      <c r="E749" s="227"/>
      <c r="F749" s="227"/>
    </row>
    <row r="750" spans="2:6" ht="12.75">
      <c r="B750" s="226"/>
      <c r="C750" s="227"/>
      <c r="D750" s="226"/>
      <c r="E750" s="227"/>
      <c r="F750" s="227"/>
    </row>
    <row r="751" spans="2:6" ht="12.75">
      <c r="B751" s="226"/>
      <c r="C751" s="227"/>
      <c r="D751" s="226"/>
      <c r="E751" s="227"/>
      <c r="F751" s="227"/>
    </row>
    <row r="752" spans="2:6" ht="12.75">
      <c r="B752" s="226"/>
      <c r="C752" s="227"/>
      <c r="D752" s="226"/>
      <c r="E752" s="227"/>
      <c r="F752" s="227"/>
    </row>
    <row r="753" spans="2:6" ht="12.75">
      <c r="B753" s="226"/>
      <c r="C753" s="227"/>
      <c r="D753" s="226"/>
      <c r="E753" s="227"/>
      <c r="F753" s="227"/>
    </row>
    <row r="754" spans="2:6" ht="12.75">
      <c r="B754" s="226"/>
      <c r="C754" s="227"/>
      <c r="D754" s="226"/>
      <c r="E754" s="227"/>
      <c r="F754" s="227"/>
    </row>
    <row r="755" spans="2:6" ht="12.75">
      <c r="B755" s="226"/>
      <c r="C755" s="227"/>
      <c r="D755" s="226"/>
      <c r="E755" s="227"/>
      <c r="F755" s="227"/>
    </row>
    <row r="756" spans="2:6" ht="12.75">
      <c r="B756" s="226"/>
      <c r="C756" s="227"/>
      <c r="D756" s="226"/>
      <c r="E756" s="227"/>
      <c r="F756" s="227"/>
    </row>
    <row r="757" spans="2:6" ht="12.75">
      <c r="B757" s="226"/>
      <c r="C757" s="227"/>
      <c r="D757" s="226"/>
      <c r="E757" s="227"/>
      <c r="F757" s="227"/>
    </row>
    <row r="758" spans="2:6" ht="12.75">
      <c r="B758" s="226"/>
      <c r="C758" s="227"/>
      <c r="D758" s="226"/>
      <c r="E758" s="227"/>
      <c r="F758" s="227"/>
    </row>
    <row r="759" spans="2:6" ht="12.75">
      <c r="B759" s="226"/>
      <c r="C759" s="227"/>
      <c r="D759" s="226"/>
      <c r="E759" s="227"/>
      <c r="F759" s="227"/>
    </row>
    <row r="760" spans="2:6" ht="12.75">
      <c r="B760" s="226"/>
      <c r="C760" s="227"/>
      <c r="D760" s="226"/>
      <c r="E760" s="227"/>
      <c r="F760" s="227"/>
    </row>
    <row r="761" spans="2:6" ht="12.75">
      <c r="B761" s="226"/>
      <c r="C761" s="227"/>
      <c r="D761" s="226"/>
      <c r="E761" s="227"/>
      <c r="F761" s="227"/>
    </row>
    <row r="762" spans="2:6" ht="12.75">
      <c r="B762" s="226"/>
      <c r="C762" s="227"/>
      <c r="D762" s="226"/>
      <c r="E762" s="227"/>
      <c r="F762" s="227"/>
    </row>
    <row r="763" spans="2:6" ht="12.75">
      <c r="B763" s="226"/>
      <c r="C763" s="227"/>
      <c r="D763" s="226"/>
      <c r="E763" s="227"/>
      <c r="F763" s="227"/>
    </row>
    <row r="764" spans="2:6" ht="12.75">
      <c r="B764" s="226"/>
      <c r="C764" s="227"/>
      <c r="D764" s="226"/>
      <c r="E764" s="227"/>
      <c r="F764" s="227"/>
    </row>
    <row r="765" spans="2:6" ht="12.75">
      <c r="B765" s="226"/>
      <c r="C765" s="227"/>
      <c r="D765" s="226"/>
      <c r="E765" s="227"/>
      <c r="F765" s="227"/>
    </row>
    <row r="766" spans="2:6" ht="12.75">
      <c r="B766" s="226"/>
      <c r="C766" s="227"/>
      <c r="D766" s="226"/>
      <c r="E766" s="227"/>
      <c r="F766" s="227"/>
    </row>
    <row r="767" spans="2:6" ht="12.75">
      <c r="B767" s="226"/>
      <c r="C767" s="227"/>
      <c r="D767" s="226"/>
      <c r="E767" s="227"/>
      <c r="F767" s="227"/>
    </row>
    <row r="768" spans="2:6" ht="12.75">
      <c r="B768" s="226"/>
      <c r="C768" s="227"/>
      <c r="D768" s="226"/>
      <c r="E768" s="227"/>
      <c r="F768" s="227"/>
    </row>
    <row r="769" spans="2:6" ht="12.75">
      <c r="B769" s="226"/>
      <c r="C769" s="227"/>
      <c r="D769" s="226"/>
      <c r="E769" s="227"/>
      <c r="F769" s="227"/>
    </row>
    <row r="770" spans="2:6" ht="12.75">
      <c r="B770" s="226"/>
      <c r="C770" s="227"/>
      <c r="D770" s="226"/>
      <c r="E770" s="227"/>
      <c r="F770" s="227"/>
    </row>
    <row r="771" spans="2:6" ht="12.75">
      <c r="B771" s="226"/>
      <c r="C771" s="227"/>
      <c r="D771" s="226"/>
      <c r="E771" s="227"/>
      <c r="F771" s="227"/>
    </row>
    <row r="772" spans="2:6" ht="12.75">
      <c r="B772" s="226"/>
      <c r="C772" s="227"/>
      <c r="D772" s="226"/>
      <c r="E772" s="227"/>
      <c r="F772" s="227"/>
    </row>
    <row r="773" spans="2:6" ht="12.75">
      <c r="B773" s="226"/>
      <c r="C773" s="227"/>
      <c r="D773" s="226"/>
      <c r="E773" s="227"/>
      <c r="F773" s="227"/>
    </row>
    <row r="774" spans="2:6" ht="12.75">
      <c r="B774" s="226"/>
      <c r="C774" s="227"/>
      <c r="D774" s="226"/>
      <c r="E774" s="227"/>
      <c r="F774" s="227"/>
    </row>
    <row r="775" spans="2:6" ht="12.75">
      <c r="B775" s="226"/>
      <c r="C775" s="227"/>
      <c r="D775" s="226"/>
      <c r="E775" s="227"/>
      <c r="F775" s="227"/>
    </row>
    <row r="776" spans="2:6" ht="12.75">
      <c r="B776" s="226"/>
      <c r="C776" s="227"/>
      <c r="D776" s="226"/>
      <c r="E776" s="227"/>
      <c r="F776" s="227"/>
    </row>
    <row r="777" spans="2:6" ht="12.75">
      <c r="B777" s="226"/>
      <c r="C777" s="227"/>
      <c r="D777" s="226"/>
      <c r="E777" s="227"/>
      <c r="F777" s="227"/>
    </row>
    <row r="778" spans="2:6" ht="12.75">
      <c r="B778" s="226"/>
      <c r="C778" s="227"/>
      <c r="D778" s="226"/>
      <c r="E778" s="227"/>
      <c r="F778" s="227"/>
    </row>
    <row r="779" spans="2:6" ht="12.75">
      <c r="B779" s="226"/>
      <c r="C779" s="227"/>
      <c r="D779" s="226"/>
      <c r="E779" s="227"/>
      <c r="F779" s="227"/>
    </row>
    <row r="780" spans="2:6" ht="12.75">
      <c r="B780" s="226"/>
      <c r="C780" s="227"/>
      <c r="D780" s="226"/>
      <c r="E780" s="227"/>
      <c r="F780" s="227"/>
    </row>
    <row r="781" spans="2:6" ht="12.75">
      <c r="B781" s="226"/>
      <c r="C781" s="227"/>
      <c r="D781" s="226"/>
      <c r="E781" s="227"/>
      <c r="F781" s="227"/>
    </row>
    <row r="782" spans="2:6" ht="12.75">
      <c r="B782" s="226"/>
      <c r="C782" s="227"/>
      <c r="D782" s="226"/>
      <c r="E782" s="227"/>
      <c r="F782" s="227"/>
    </row>
    <row r="783" spans="2:6" ht="12.75">
      <c r="B783" s="226"/>
      <c r="C783" s="227"/>
      <c r="D783" s="226"/>
      <c r="E783" s="227"/>
      <c r="F783" s="227"/>
    </row>
    <row r="784" spans="2:6" ht="12.75">
      <c r="B784" s="226"/>
      <c r="C784" s="227"/>
      <c r="D784" s="226"/>
      <c r="E784" s="227"/>
      <c r="F784" s="227"/>
    </row>
    <row r="785" spans="2:6" ht="12.75">
      <c r="B785" s="226"/>
      <c r="C785" s="227"/>
      <c r="D785" s="226"/>
      <c r="E785" s="227"/>
      <c r="F785" s="227"/>
    </row>
    <row r="786" spans="2:6" ht="12.75">
      <c r="B786" s="226"/>
      <c r="C786" s="227"/>
      <c r="D786" s="226"/>
      <c r="E786" s="227"/>
      <c r="F786" s="227"/>
    </row>
    <row r="787" spans="2:6" ht="12.75">
      <c r="B787" s="226"/>
      <c r="C787" s="227"/>
      <c r="D787" s="226"/>
      <c r="E787" s="227"/>
      <c r="F787" s="227"/>
    </row>
    <row r="788" spans="2:6" ht="12.75">
      <c r="B788" s="226"/>
      <c r="C788" s="227"/>
      <c r="D788" s="226"/>
      <c r="E788" s="227"/>
      <c r="F788" s="227"/>
    </row>
    <row r="789" spans="2:6" ht="12.75">
      <c r="B789" s="226"/>
      <c r="C789" s="227"/>
      <c r="D789" s="226"/>
      <c r="E789" s="227"/>
      <c r="F789" s="227"/>
    </row>
    <row r="790" spans="2:6" ht="12.75">
      <c r="B790" s="226"/>
      <c r="C790" s="227"/>
      <c r="D790" s="226"/>
      <c r="E790" s="227"/>
      <c r="F790" s="227"/>
    </row>
    <row r="791" spans="2:6" ht="12.75">
      <c r="B791" s="226"/>
      <c r="C791" s="227"/>
      <c r="D791" s="226"/>
      <c r="E791" s="227"/>
      <c r="F791" s="227"/>
    </row>
    <row r="792" spans="2:6" ht="12.75">
      <c r="B792" s="226"/>
      <c r="C792" s="227"/>
      <c r="D792" s="226"/>
      <c r="E792" s="227"/>
      <c r="F792" s="227"/>
    </row>
    <row r="793" spans="2:6" ht="12.75">
      <c r="B793" s="226"/>
      <c r="C793" s="227"/>
      <c r="D793" s="226"/>
      <c r="E793" s="227"/>
      <c r="F793" s="227"/>
    </row>
    <row r="794" spans="2:6" ht="12.75">
      <c r="B794" s="226"/>
      <c r="C794" s="227"/>
      <c r="D794" s="226"/>
      <c r="E794" s="227"/>
      <c r="F794" s="227"/>
    </row>
    <row r="795" spans="2:6" ht="12.75">
      <c r="B795" s="226"/>
      <c r="C795" s="227"/>
      <c r="D795" s="226"/>
      <c r="E795" s="227"/>
      <c r="F795" s="227"/>
    </row>
    <row r="796" spans="2:6" ht="12.75">
      <c r="B796" s="226"/>
      <c r="C796" s="227"/>
      <c r="D796" s="226"/>
      <c r="E796" s="227"/>
      <c r="F796" s="227"/>
    </row>
    <row r="797" spans="2:6" ht="12.75">
      <c r="B797" s="226"/>
      <c r="C797" s="227"/>
      <c r="D797" s="226"/>
      <c r="E797" s="227"/>
      <c r="F797" s="227"/>
    </row>
    <row r="798" spans="2:6" ht="12.75">
      <c r="B798" s="226"/>
      <c r="C798" s="227"/>
      <c r="D798" s="226"/>
      <c r="E798" s="227"/>
      <c r="F798" s="227"/>
    </row>
    <row r="799" spans="2:6" ht="12.75">
      <c r="B799" s="226"/>
      <c r="C799" s="227"/>
      <c r="D799" s="226"/>
      <c r="E799" s="227"/>
      <c r="F799" s="227"/>
    </row>
    <row r="800" spans="2:6" ht="12.75">
      <c r="B800" s="226"/>
      <c r="C800" s="227"/>
      <c r="D800" s="226"/>
      <c r="E800" s="227"/>
      <c r="F800" s="227"/>
    </row>
    <row r="801" spans="2:6" ht="12.75">
      <c r="B801" s="226"/>
      <c r="C801" s="227"/>
      <c r="D801" s="226"/>
      <c r="E801" s="227"/>
      <c r="F801" s="227"/>
    </row>
    <row r="802" spans="2:6" ht="12.75">
      <c r="B802" s="226"/>
      <c r="C802" s="227"/>
      <c r="D802" s="226"/>
      <c r="E802" s="227"/>
      <c r="F802" s="227"/>
    </row>
    <row r="803" spans="2:6" ht="12.75">
      <c r="B803" s="226"/>
      <c r="C803" s="227"/>
      <c r="D803" s="226"/>
      <c r="E803" s="227"/>
      <c r="F803" s="227"/>
    </row>
    <row r="804" spans="2:6" ht="12.75">
      <c r="B804" s="226"/>
      <c r="C804" s="227"/>
      <c r="D804" s="226"/>
      <c r="E804" s="227"/>
      <c r="F804" s="227"/>
    </row>
    <row r="805" spans="2:6" ht="12.75">
      <c r="B805" s="226"/>
      <c r="C805" s="227"/>
      <c r="D805" s="226"/>
      <c r="E805" s="227"/>
      <c r="F805" s="227"/>
    </row>
    <row r="806" spans="2:6" ht="12.75">
      <c r="B806" s="226"/>
      <c r="C806" s="227"/>
      <c r="D806" s="226"/>
      <c r="E806" s="227"/>
      <c r="F806" s="227"/>
    </row>
    <row r="807" spans="2:6" ht="12.75">
      <c r="B807" s="226"/>
      <c r="C807" s="227"/>
      <c r="D807" s="226"/>
      <c r="E807" s="227"/>
      <c r="F807" s="227"/>
    </row>
    <row r="808" spans="2:6" ht="12.75">
      <c r="B808" s="226"/>
      <c r="C808" s="227"/>
      <c r="D808" s="226"/>
      <c r="E808" s="227"/>
      <c r="F808" s="227"/>
    </row>
    <row r="809" spans="2:6" ht="12.75">
      <c r="B809" s="226"/>
      <c r="C809" s="227"/>
      <c r="D809" s="226"/>
      <c r="E809" s="227"/>
      <c r="F809" s="227"/>
    </row>
    <row r="810" spans="2:6" ht="12.75">
      <c r="B810" s="226"/>
      <c r="C810" s="227"/>
      <c r="D810" s="226"/>
      <c r="E810" s="227"/>
      <c r="F810" s="227"/>
    </row>
    <row r="811" spans="2:6" ht="12.75">
      <c r="B811" s="226"/>
      <c r="C811" s="227"/>
      <c r="D811" s="226"/>
      <c r="E811" s="227"/>
      <c r="F811" s="227"/>
    </row>
    <row r="812" spans="2:6" ht="12.75">
      <c r="B812" s="226"/>
      <c r="C812" s="227"/>
      <c r="D812" s="226"/>
      <c r="E812" s="227"/>
      <c r="F812" s="227"/>
    </row>
    <row r="813" spans="2:6" ht="12.75">
      <c r="B813" s="226"/>
      <c r="C813" s="227"/>
      <c r="D813" s="226"/>
      <c r="E813" s="227"/>
      <c r="F813" s="227"/>
    </row>
    <row r="814" spans="2:6" ht="12.75">
      <c r="B814" s="226"/>
      <c r="C814" s="227"/>
      <c r="D814" s="226"/>
      <c r="E814" s="227"/>
      <c r="F814" s="227"/>
    </row>
    <row r="815" spans="2:6" ht="12.75">
      <c r="B815" s="226"/>
      <c r="C815" s="227"/>
      <c r="D815" s="226"/>
      <c r="E815" s="227"/>
      <c r="F815" s="227"/>
    </row>
    <row r="816" spans="2:6" ht="12.75">
      <c r="B816" s="226"/>
      <c r="C816" s="227"/>
      <c r="D816" s="226"/>
      <c r="E816" s="227"/>
      <c r="F816" s="227"/>
    </row>
    <row r="817" spans="2:6" ht="12.75">
      <c r="B817" s="226"/>
      <c r="C817" s="227"/>
      <c r="D817" s="226"/>
      <c r="E817" s="227"/>
      <c r="F817" s="227"/>
    </row>
    <row r="818" spans="2:6" ht="12.75">
      <c r="B818" s="226"/>
      <c r="C818" s="227"/>
      <c r="D818" s="226"/>
      <c r="E818" s="227"/>
      <c r="F818" s="227"/>
    </row>
    <row r="819" spans="2:6" ht="12.75">
      <c r="B819" s="226"/>
      <c r="C819" s="227"/>
      <c r="D819" s="226"/>
      <c r="E819" s="227"/>
      <c r="F819" s="227"/>
    </row>
    <row r="820" spans="2:6" ht="12.75">
      <c r="B820" s="226"/>
      <c r="C820" s="227"/>
      <c r="D820" s="226"/>
      <c r="E820" s="227"/>
      <c r="F820" s="227"/>
    </row>
    <row r="821" spans="2:6" ht="12.75">
      <c r="B821" s="226"/>
      <c r="C821" s="227"/>
      <c r="D821" s="226"/>
      <c r="E821" s="227"/>
      <c r="F821" s="227"/>
    </row>
    <row r="822" spans="2:6" ht="12.75">
      <c r="B822" s="226"/>
      <c r="C822" s="227"/>
      <c r="D822" s="226"/>
      <c r="E822" s="227"/>
      <c r="F822" s="227"/>
    </row>
    <row r="823" spans="2:6" ht="12.75">
      <c r="B823" s="226"/>
      <c r="C823" s="227"/>
      <c r="D823" s="226"/>
      <c r="E823" s="227"/>
      <c r="F823" s="227"/>
    </row>
    <row r="824" spans="2:6" ht="12.75">
      <c r="B824" s="226"/>
      <c r="C824" s="227"/>
      <c r="D824" s="226"/>
      <c r="E824" s="227"/>
      <c r="F824" s="227"/>
    </row>
    <row r="825" spans="2:6" ht="12.75">
      <c r="B825" s="226"/>
      <c r="C825" s="227"/>
      <c r="D825" s="226"/>
      <c r="E825" s="227"/>
      <c r="F825" s="227"/>
    </row>
    <row r="826" spans="2:6" ht="12.75">
      <c r="B826" s="226"/>
      <c r="C826" s="227"/>
      <c r="D826" s="226"/>
      <c r="E826" s="227"/>
      <c r="F826" s="227"/>
    </row>
    <row r="827" spans="2:6" ht="12.75">
      <c r="B827" s="226"/>
      <c r="C827" s="227"/>
      <c r="D827" s="226"/>
      <c r="E827" s="227"/>
      <c r="F827" s="227"/>
    </row>
    <row r="828" spans="2:6" ht="12.75">
      <c r="B828" s="226"/>
      <c r="C828" s="227"/>
      <c r="D828" s="226"/>
      <c r="E828" s="227"/>
      <c r="F828" s="227"/>
    </row>
    <row r="829" spans="2:6" ht="12.75">
      <c r="B829" s="226"/>
      <c r="C829" s="227"/>
      <c r="D829" s="226"/>
      <c r="E829" s="227"/>
      <c r="F829" s="227"/>
    </row>
    <row r="830" spans="2:6" ht="12.75">
      <c r="B830" s="226"/>
      <c r="C830" s="227"/>
      <c r="D830" s="226"/>
      <c r="E830" s="227"/>
      <c r="F830" s="227"/>
    </row>
    <row r="831" spans="2:6" ht="12.75">
      <c r="B831" s="226"/>
      <c r="C831" s="227"/>
      <c r="D831" s="226"/>
      <c r="E831" s="227"/>
      <c r="F831" s="227"/>
    </row>
    <row r="832" spans="2:6" ht="12.75">
      <c r="B832" s="226"/>
      <c r="C832" s="227"/>
      <c r="D832" s="226"/>
      <c r="E832" s="227"/>
      <c r="F832" s="227"/>
    </row>
    <row r="833" spans="2:6" ht="12.75">
      <c r="B833" s="226"/>
      <c r="C833" s="227"/>
      <c r="D833" s="226"/>
      <c r="E833" s="227"/>
      <c r="F833" s="227"/>
    </row>
    <row r="834" spans="2:6" ht="12.75">
      <c r="B834" s="226"/>
      <c r="C834" s="227"/>
      <c r="D834" s="226"/>
      <c r="E834" s="227"/>
      <c r="F834" s="227"/>
    </row>
    <row r="835" spans="2:6" ht="12.75">
      <c r="B835" s="226"/>
      <c r="C835" s="227"/>
      <c r="D835" s="226"/>
      <c r="E835" s="227"/>
      <c r="F835" s="227"/>
    </row>
    <row r="836" spans="2:6" ht="12.75">
      <c r="B836" s="226"/>
      <c r="C836" s="227"/>
      <c r="D836" s="226"/>
      <c r="E836" s="227"/>
      <c r="F836" s="227"/>
    </row>
    <row r="837" spans="2:6" ht="12.75">
      <c r="B837" s="226"/>
      <c r="C837" s="227"/>
      <c r="D837" s="226"/>
      <c r="E837" s="227"/>
      <c r="F837" s="227"/>
    </row>
    <row r="838" spans="2:6" ht="12.75">
      <c r="B838" s="226"/>
      <c r="C838" s="227"/>
      <c r="D838" s="226"/>
      <c r="E838" s="227"/>
      <c r="F838" s="227"/>
    </row>
    <row r="839" spans="2:6" ht="12.75">
      <c r="B839" s="226"/>
      <c r="C839" s="227"/>
      <c r="D839" s="226"/>
      <c r="E839" s="227"/>
      <c r="F839" s="227"/>
    </row>
    <row r="840" spans="2:6" ht="12.75">
      <c r="B840" s="226"/>
      <c r="C840" s="227"/>
      <c r="D840" s="226"/>
      <c r="E840" s="227"/>
      <c r="F840" s="227"/>
    </row>
    <row r="841" spans="2:6" ht="12.75">
      <c r="B841" s="226"/>
      <c r="C841" s="227"/>
      <c r="D841" s="226"/>
      <c r="E841" s="227"/>
      <c r="F841" s="227"/>
    </row>
    <row r="842" spans="2:6" ht="12.75">
      <c r="B842" s="226"/>
      <c r="C842" s="227"/>
      <c r="D842" s="226"/>
      <c r="E842" s="227"/>
      <c r="F842" s="227"/>
    </row>
    <row r="843" spans="2:6" ht="12.75">
      <c r="B843" s="226"/>
      <c r="C843" s="227"/>
      <c r="D843" s="226"/>
      <c r="E843" s="227"/>
      <c r="F843" s="227"/>
    </row>
    <row r="844" spans="2:6" ht="12.75">
      <c r="B844" s="226"/>
      <c r="C844" s="227"/>
      <c r="D844" s="226"/>
      <c r="E844" s="227"/>
      <c r="F844" s="227"/>
    </row>
    <row r="845" spans="2:6" ht="12.75">
      <c r="B845" s="226"/>
      <c r="C845" s="227"/>
      <c r="D845" s="226"/>
      <c r="E845" s="227"/>
      <c r="F845" s="227"/>
    </row>
    <row r="846" spans="2:6" ht="12.75">
      <c r="B846" s="226"/>
      <c r="C846" s="227"/>
      <c r="D846" s="226"/>
      <c r="E846" s="227"/>
      <c r="F846" s="227"/>
    </row>
    <row r="847" spans="2:6" ht="12.75">
      <c r="B847" s="226"/>
      <c r="C847" s="227"/>
      <c r="D847" s="226"/>
      <c r="E847" s="227"/>
      <c r="F847" s="227"/>
    </row>
    <row r="848" spans="2:6" ht="12.75">
      <c r="B848" s="226"/>
      <c r="C848" s="227"/>
      <c r="D848" s="226"/>
      <c r="E848" s="227"/>
      <c r="F848" s="227"/>
    </row>
    <row r="849" spans="2:6" ht="12.75">
      <c r="B849" s="226"/>
      <c r="C849" s="227"/>
      <c r="D849" s="226"/>
      <c r="E849" s="227"/>
      <c r="F849" s="227"/>
    </row>
    <row r="850" spans="2:6" ht="12.75">
      <c r="B850" s="226"/>
      <c r="C850" s="227"/>
      <c r="D850" s="226"/>
      <c r="E850" s="227"/>
      <c r="F850" s="227"/>
    </row>
    <row r="851" spans="2:6" ht="12.75">
      <c r="B851" s="226"/>
      <c r="C851" s="227"/>
      <c r="D851" s="226"/>
      <c r="E851" s="227"/>
      <c r="F851" s="227"/>
    </row>
    <row r="852" spans="2:6" ht="12.75">
      <c r="B852" s="226"/>
      <c r="C852" s="227"/>
      <c r="D852" s="226"/>
      <c r="E852" s="227"/>
      <c r="F852" s="227"/>
    </row>
    <row r="853" spans="2:6" ht="12.75">
      <c r="B853" s="226"/>
      <c r="C853" s="227"/>
      <c r="D853" s="226"/>
      <c r="E853" s="227"/>
      <c r="F853" s="227"/>
    </row>
    <row r="854" spans="2:6" ht="12.75">
      <c r="B854" s="226"/>
      <c r="C854" s="227"/>
      <c r="D854" s="226"/>
      <c r="E854" s="227"/>
      <c r="F854" s="227"/>
    </row>
    <row r="855" spans="2:6" ht="12.75">
      <c r="B855" s="226"/>
      <c r="C855" s="227"/>
      <c r="D855" s="226"/>
      <c r="E855" s="227"/>
      <c r="F855" s="227"/>
    </row>
    <row r="856" spans="2:6" ht="12.75">
      <c r="B856" s="226"/>
      <c r="C856" s="227"/>
      <c r="D856" s="226"/>
      <c r="E856" s="227"/>
      <c r="F856" s="227"/>
    </row>
    <row r="857" spans="2:6" ht="12.75">
      <c r="B857" s="226"/>
      <c r="C857" s="227"/>
      <c r="D857" s="226"/>
      <c r="E857" s="227"/>
      <c r="F857" s="227"/>
    </row>
    <row r="858" spans="2:6" ht="12.75">
      <c r="B858" s="226"/>
      <c r="C858" s="227"/>
      <c r="D858" s="226"/>
      <c r="E858" s="227"/>
      <c r="F858" s="227"/>
    </row>
    <row r="859" spans="2:6" ht="12.75">
      <c r="B859" s="226"/>
      <c r="C859" s="227"/>
      <c r="D859" s="226"/>
      <c r="E859" s="227"/>
      <c r="F859" s="227"/>
    </row>
    <row r="860" spans="2:6" ht="12.75">
      <c r="B860" s="226"/>
      <c r="C860" s="227"/>
      <c r="D860" s="226"/>
      <c r="E860" s="227"/>
      <c r="F860" s="227"/>
    </row>
    <row r="861" spans="2:6" ht="12.75">
      <c r="B861" s="226"/>
      <c r="C861" s="227"/>
      <c r="D861" s="226"/>
      <c r="E861" s="227"/>
      <c r="F861" s="227"/>
    </row>
    <row r="862" spans="2:6" ht="12.75">
      <c r="B862" s="226"/>
      <c r="C862" s="227"/>
      <c r="D862" s="226"/>
      <c r="E862" s="227"/>
      <c r="F862" s="227"/>
    </row>
    <row r="863" spans="2:6" ht="12.75">
      <c r="B863" s="226"/>
      <c r="C863" s="227"/>
      <c r="D863" s="226"/>
      <c r="E863" s="227"/>
      <c r="F863" s="227"/>
    </row>
    <row r="864" spans="2:6" ht="12.75">
      <c r="B864" s="226"/>
      <c r="C864" s="227"/>
      <c r="D864" s="226"/>
      <c r="E864" s="227"/>
      <c r="F864" s="227"/>
    </row>
    <row r="865" spans="2:6" ht="12.75">
      <c r="B865" s="226"/>
      <c r="C865" s="227"/>
      <c r="D865" s="226"/>
      <c r="E865" s="227"/>
      <c r="F865" s="227"/>
    </row>
    <row r="866" spans="2:6" ht="12.75">
      <c r="B866" s="226"/>
      <c r="C866" s="227"/>
      <c r="D866" s="226"/>
      <c r="E866" s="227"/>
      <c r="F866" s="227"/>
    </row>
    <row r="867" spans="2:6" ht="12.75">
      <c r="B867" s="226"/>
      <c r="C867" s="227"/>
      <c r="D867" s="226"/>
      <c r="E867" s="227"/>
      <c r="F867" s="227"/>
    </row>
    <row r="868" spans="2:6" ht="12.75">
      <c r="B868" s="226"/>
      <c r="C868" s="227"/>
      <c r="D868" s="226"/>
      <c r="E868" s="227"/>
      <c r="F868" s="227"/>
    </row>
    <row r="869" spans="2:6" ht="12.75">
      <c r="B869" s="226"/>
      <c r="C869" s="227"/>
      <c r="D869" s="226"/>
      <c r="E869" s="227"/>
      <c r="F869" s="227"/>
    </row>
    <row r="870" spans="2:6" ht="12.75">
      <c r="B870" s="226"/>
      <c r="C870" s="227"/>
      <c r="D870" s="226"/>
      <c r="E870" s="227"/>
      <c r="F870" s="227"/>
    </row>
    <row r="871" spans="2:6" ht="12.75">
      <c r="B871" s="226"/>
      <c r="C871" s="227"/>
      <c r="D871" s="226"/>
      <c r="E871" s="227"/>
      <c r="F871" s="227"/>
    </row>
    <row r="872" spans="2:6" ht="12.75">
      <c r="B872" s="226"/>
      <c r="C872" s="227"/>
      <c r="D872" s="226"/>
      <c r="E872" s="227"/>
      <c r="F872" s="227"/>
    </row>
    <row r="873" spans="2:6" ht="12.75">
      <c r="B873" s="226"/>
      <c r="C873" s="227"/>
      <c r="D873" s="226"/>
      <c r="E873" s="227"/>
      <c r="F873" s="227"/>
    </row>
    <row r="874" spans="2:6" ht="12.75">
      <c r="B874" s="226"/>
      <c r="C874" s="227"/>
      <c r="D874" s="226"/>
      <c r="E874" s="227"/>
      <c r="F874" s="227"/>
    </row>
    <row r="875" spans="2:6" ht="12.75">
      <c r="B875" s="226"/>
      <c r="C875" s="227"/>
      <c r="D875" s="226"/>
      <c r="E875" s="227"/>
      <c r="F875" s="227"/>
    </row>
    <row r="876" spans="2:6" ht="12.75">
      <c r="B876" s="226"/>
      <c r="C876" s="227"/>
      <c r="D876" s="226"/>
      <c r="E876" s="227"/>
      <c r="F876" s="227"/>
    </row>
    <row r="877" spans="2:6" ht="12.75">
      <c r="B877" s="226"/>
      <c r="C877" s="227"/>
      <c r="D877" s="226"/>
      <c r="E877" s="227"/>
      <c r="F877" s="227"/>
    </row>
    <row r="878" spans="2:6" ht="12.75">
      <c r="B878" s="226"/>
      <c r="C878" s="227"/>
      <c r="D878" s="226"/>
      <c r="E878" s="227"/>
      <c r="F878" s="227"/>
    </row>
    <row r="879" spans="2:6" ht="12.75">
      <c r="B879" s="226"/>
      <c r="C879" s="227"/>
      <c r="D879" s="226"/>
      <c r="E879" s="227"/>
      <c r="F879" s="227"/>
    </row>
    <row r="880" spans="2:6" ht="12.75">
      <c r="B880" s="226"/>
      <c r="C880" s="227"/>
      <c r="D880" s="226"/>
      <c r="E880" s="227"/>
      <c r="F880" s="227"/>
    </row>
    <row r="881" spans="2:6" ht="12.75">
      <c r="B881" s="226"/>
      <c r="C881" s="227"/>
      <c r="D881" s="226"/>
      <c r="E881" s="227"/>
      <c r="F881" s="227"/>
    </row>
    <row r="882" spans="2:6" ht="12.75">
      <c r="B882" s="226"/>
      <c r="C882" s="227"/>
      <c r="D882" s="226"/>
      <c r="E882" s="227"/>
      <c r="F882" s="227"/>
    </row>
    <row r="883" spans="2:6" ht="12.75">
      <c r="B883" s="226"/>
      <c r="C883" s="227"/>
      <c r="D883" s="226"/>
      <c r="E883" s="227"/>
      <c r="F883" s="227"/>
    </row>
    <row r="884" spans="2:6" ht="12.75">
      <c r="B884" s="226"/>
      <c r="C884" s="227"/>
      <c r="D884" s="226"/>
      <c r="E884" s="227"/>
      <c r="F884" s="227"/>
    </row>
    <row r="885" spans="2:6" ht="12.75">
      <c r="B885" s="226"/>
      <c r="C885" s="227"/>
      <c r="D885" s="226"/>
      <c r="E885" s="227"/>
      <c r="F885" s="227"/>
    </row>
    <row r="886" spans="2:6" ht="12.75">
      <c r="B886" s="226"/>
      <c r="C886" s="227"/>
      <c r="D886" s="226"/>
      <c r="E886" s="227"/>
      <c r="F886" s="227"/>
    </row>
    <row r="887" spans="2:6" ht="12.75">
      <c r="B887" s="226"/>
      <c r="C887" s="227"/>
      <c r="D887" s="226"/>
      <c r="E887" s="227"/>
      <c r="F887" s="227"/>
    </row>
    <row r="888" spans="2:6" ht="12.75">
      <c r="B888" s="226"/>
      <c r="C888" s="227"/>
      <c r="D888" s="226"/>
      <c r="E888" s="227"/>
      <c r="F888" s="227"/>
    </row>
    <row r="889" spans="2:6" ht="12.75">
      <c r="B889" s="226"/>
      <c r="C889" s="227"/>
      <c r="D889" s="226"/>
      <c r="E889" s="227"/>
      <c r="F889" s="227"/>
    </row>
    <row r="890" spans="2:6" ht="12.75">
      <c r="B890" s="226"/>
      <c r="C890" s="227"/>
      <c r="D890" s="226"/>
      <c r="E890" s="227"/>
      <c r="F890" s="227"/>
    </row>
    <row r="891" spans="2:6" ht="12.75">
      <c r="B891" s="226"/>
      <c r="C891" s="227"/>
      <c r="D891" s="226"/>
      <c r="E891" s="227"/>
      <c r="F891" s="227"/>
    </row>
    <row r="892" spans="2:6" ht="12.75">
      <c r="B892" s="226"/>
      <c r="C892" s="227"/>
      <c r="D892" s="226"/>
      <c r="E892" s="227"/>
      <c r="F892" s="227"/>
    </row>
    <row r="893" spans="2:6" ht="12.75">
      <c r="B893" s="226"/>
      <c r="C893" s="227"/>
      <c r="D893" s="226"/>
      <c r="E893" s="227"/>
      <c r="F893" s="227"/>
    </row>
    <row r="894" spans="2:6" ht="12.75">
      <c r="B894" s="226"/>
      <c r="C894" s="227"/>
      <c r="D894" s="226"/>
      <c r="E894" s="227"/>
      <c r="F894" s="227"/>
    </row>
    <row r="895" spans="2:6" ht="12.75">
      <c r="B895" s="226"/>
      <c r="C895" s="227"/>
      <c r="D895" s="226"/>
      <c r="E895" s="227"/>
      <c r="F895" s="227"/>
    </row>
    <row r="896" spans="2:6" ht="12.75">
      <c r="B896" s="226"/>
      <c r="C896" s="227"/>
      <c r="D896" s="226"/>
      <c r="E896" s="227"/>
      <c r="F896" s="227"/>
    </row>
    <row r="897" spans="2:6" ht="12.75">
      <c r="B897" s="226"/>
      <c r="C897" s="227"/>
      <c r="D897" s="226"/>
      <c r="E897" s="227"/>
      <c r="F897" s="227"/>
    </row>
    <row r="898" spans="2:6" ht="12.75">
      <c r="B898" s="226"/>
      <c r="C898" s="227"/>
      <c r="D898" s="226"/>
      <c r="E898" s="227"/>
      <c r="F898" s="227"/>
    </row>
    <row r="899" spans="2:6" ht="12.75">
      <c r="B899" s="226"/>
      <c r="C899" s="227"/>
      <c r="D899" s="226"/>
      <c r="E899" s="227"/>
      <c r="F899" s="227"/>
    </row>
    <row r="900" spans="2:6" ht="12.75">
      <c r="B900" s="226"/>
      <c r="C900" s="227"/>
      <c r="D900" s="226"/>
      <c r="E900" s="227"/>
      <c r="F900" s="227"/>
    </row>
    <row r="901" spans="2:6" ht="12.75">
      <c r="B901" s="226"/>
      <c r="C901" s="227"/>
      <c r="D901" s="226"/>
      <c r="E901" s="227"/>
      <c r="F901" s="227"/>
    </row>
    <row r="902" spans="2:6" ht="12.75">
      <c r="B902" s="226"/>
      <c r="C902" s="227"/>
      <c r="D902" s="226"/>
      <c r="E902" s="227"/>
      <c r="F902" s="227"/>
    </row>
    <row r="903" spans="2:6" ht="12.75">
      <c r="B903" s="226"/>
      <c r="C903" s="227"/>
      <c r="D903" s="226"/>
      <c r="E903" s="227"/>
      <c r="F903" s="227"/>
    </row>
    <row r="904" spans="2:6" ht="12.75">
      <c r="B904" s="226"/>
      <c r="C904" s="227"/>
      <c r="D904" s="226"/>
      <c r="E904" s="227"/>
      <c r="F904" s="227"/>
    </row>
    <row r="905" spans="2:6" ht="12.75">
      <c r="B905" s="226"/>
      <c r="C905" s="227"/>
      <c r="D905" s="226"/>
      <c r="E905" s="227"/>
      <c r="F905" s="227"/>
    </row>
    <row r="906" spans="2:6" ht="12.75">
      <c r="B906" s="226"/>
      <c r="C906" s="227"/>
      <c r="D906" s="226"/>
      <c r="E906" s="227"/>
      <c r="F906" s="227"/>
    </row>
    <row r="907" spans="2:6" ht="12.75">
      <c r="B907" s="226"/>
      <c r="C907" s="227"/>
      <c r="D907" s="226"/>
      <c r="E907" s="227"/>
      <c r="F907" s="227"/>
    </row>
    <row r="908" spans="2:6" ht="12.75">
      <c r="B908" s="226"/>
      <c r="C908" s="227"/>
      <c r="D908" s="226"/>
      <c r="E908" s="227"/>
      <c r="F908" s="227"/>
    </row>
    <row r="909" spans="2:6" ht="12.75">
      <c r="B909" s="226"/>
      <c r="C909" s="227"/>
      <c r="D909" s="226"/>
      <c r="E909" s="227"/>
      <c r="F909" s="227"/>
    </row>
    <row r="910" spans="2:6" ht="12.75">
      <c r="B910" s="226"/>
      <c r="C910" s="227"/>
      <c r="D910" s="226"/>
      <c r="E910" s="227"/>
      <c r="F910" s="227"/>
    </row>
    <row r="911" spans="2:6" ht="12.75">
      <c r="B911" s="226"/>
      <c r="C911" s="227"/>
      <c r="D911" s="226"/>
      <c r="E911" s="227"/>
      <c r="F911" s="227"/>
    </row>
    <row r="912" spans="2:6" ht="12.75">
      <c r="B912" s="226"/>
      <c r="C912" s="227"/>
      <c r="D912" s="226"/>
      <c r="E912" s="227"/>
      <c r="F912" s="227"/>
    </row>
    <row r="913" spans="2:6" ht="12.75">
      <c r="B913" s="226"/>
      <c r="C913" s="227"/>
      <c r="D913" s="226"/>
      <c r="E913" s="227"/>
      <c r="F913" s="227"/>
    </row>
    <row r="914" spans="2:6" ht="12.75">
      <c r="B914" s="226"/>
      <c r="C914" s="227"/>
      <c r="D914" s="226"/>
      <c r="E914" s="227"/>
      <c r="F914" s="227"/>
    </row>
    <row r="915" spans="2:6" ht="12.75">
      <c r="B915" s="226"/>
      <c r="C915" s="227"/>
      <c r="D915" s="226"/>
      <c r="E915" s="227"/>
      <c r="F915" s="227"/>
    </row>
    <row r="916" spans="2:6" ht="12.75">
      <c r="B916" s="226"/>
      <c r="C916" s="227"/>
      <c r="D916" s="226"/>
      <c r="E916" s="227"/>
      <c r="F916" s="227"/>
    </row>
    <row r="917" spans="2:6" ht="12.75">
      <c r="B917" s="226"/>
      <c r="C917" s="227"/>
      <c r="D917" s="226"/>
      <c r="E917" s="227"/>
      <c r="F917" s="227"/>
    </row>
    <row r="918" spans="2:6" ht="12.75">
      <c r="B918" s="226"/>
      <c r="C918" s="227"/>
      <c r="D918" s="226"/>
      <c r="E918" s="227"/>
      <c r="F918" s="227"/>
    </row>
    <row r="919" spans="2:6" ht="12.75">
      <c r="B919" s="226"/>
      <c r="C919" s="227"/>
      <c r="D919" s="226"/>
      <c r="E919" s="227"/>
      <c r="F919" s="227"/>
    </row>
    <row r="920" spans="2:6" ht="12.75">
      <c r="B920" s="226"/>
      <c r="C920" s="227"/>
      <c r="D920" s="226"/>
      <c r="E920" s="227"/>
      <c r="F920" s="227"/>
    </row>
    <row r="921" spans="2:6" ht="12.75">
      <c r="B921" s="226"/>
      <c r="C921" s="227"/>
      <c r="D921" s="226"/>
      <c r="E921" s="227"/>
      <c r="F921" s="227"/>
    </row>
    <row r="922" spans="2:6" ht="12.75">
      <c r="B922" s="226"/>
      <c r="C922" s="227"/>
      <c r="D922" s="226"/>
      <c r="E922" s="227"/>
      <c r="F922" s="227"/>
    </row>
    <row r="923" spans="2:6" ht="12.75">
      <c r="B923" s="226"/>
      <c r="C923" s="227"/>
      <c r="D923" s="226"/>
      <c r="E923" s="227"/>
      <c r="F923" s="227"/>
    </row>
    <row r="924" spans="2:6" ht="12.75">
      <c r="B924" s="226"/>
      <c r="C924" s="227"/>
      <c r="D924" s="226"/>
      <c r="E924" s="227"/>
      <c r="F924" s="227"/>
    </row>
    <row r="925" spans="2:6" ht="12.75">
      <c r="B925" s="226"/>
      <c r="C925" s="227"/>
      <c r="D925" s="226"/>
      <c r="E925" s="227"/>
      <c r="F925" s="227"/>
    </row>
    <row r="926" spans="2:6" ht="12.75">
      <c r="B926" s="226"/>
      <c r="C926" s="227"/>
      <c r="D926" s="226"/>
      <c r="E926" s="227"/>
      <c r="F926" s="227"/>
    </row>
    <row r="927" spans="2:6" ht="12.75">
      <c r="B927" s="226"/>
      <c r="C927" s="227"/>
      <c r="D927" s="226"/>
      <c r="E927" s="227"/>
      <c r="F927" s="227"/>
    </row>
    <row r="928" spans="2:6" ht="12.75">
      <c r="B928" s="226"/>
      <c r="C928" s="227"/>
      <c r="D928" s="226"/>
      <c r="E928" s="227"/>
      <c r="F928" s="227"/>
    </row>
    <row r="929" spans="2:6" ht="12.75">
      <c r="B929" s="226"/>
      <c r="C929" s="227"/>
      <c r="D929" s="226"/>
      <c r="E929" s="227"/>
      <c r="F929" s="227"/>
    </row>
    <row r="930" spans="2:6" ht="12.75">
      <c r="B930" s="226"/>
      <c r="C930" s="227"/>
      <c r="D930" s="226"/>
      <c r="E930" s="227"/>
      <c r="F930" s="227"/>
    </row>
    <row r="931" spans="2:6" ht="12.75">
      <c r="B931" s="226"/>
      <c r="C931" s="227"/>
      <c r="D931" s="226"/>
      <c r="E931" s="227"/>
      <c r="F931" s="227"/>
    </row>
    <row r="932" spans="2:6" ht="12.75">
      <c r="B932" s="226"/>
      <c r="C932" s="227"/>
      <c r="D932" s="226"/>
      <c r="E932" s="227"/>
      <c r="F932" s="227"/>
    </row>
    <row r="933" spans="2:6" ht="12.75">
      <c r="B933" s="226"/>
      <c r="C933" s="227"/>
      <c r="D933" s="226"/>
      <c r="E933" s="227"/>
      <c r="F933" s="227"/>
    </row>
    <row r="934" spans="2:6" ht="12.75">
      <c r="B934" s="226"/>
      <c r="C934" s="227"/>
      <c r="D934" s="226"/>
      <c r="E934" s="227"/>
      <c r="F934" s="227"/>
    </row>
    <row r="935" spans="2:6" ht="12.75">
      <c r="B935" s="226"/>
      <c r="C935" s="227"/>
      <c r="D935" s="226"/>
      <c r="E935" s="227"/>
      <c r="F935" s="227"/>
    </row>
    <row r="936" spans="2:6" ht="12.75">
      <c r="B936" s="226"/>
      <c r="C936" s="227"/>
      <c r="D936" s="226"/>
      <c r="E936" s="227"/>
      <c r="F936" s="227"/>
    </row>
    <row r="937" spans="2:6" ht="12.75">
      <c r="B937" s="226"/>
      <c r="C937" s="227"/>
      <c r="D937" s="226"/>
      <c r="E937" s="227"/>
      <c r="F937" s="227"/>
    </row>
    <row r="938" spans="2:6" ht="12.75">
      <c r="B938" s="226"/>
      <c r="C938" s="227"/>
      <c r="D938" s="226"/>
      <c r="E938" s="227"/>
      <c r="F938" s="227"/>
    </row>
    <row r="939" spans="2:6" ht="12.75">
      <c r="B939" s="226"/>
      <c r="C939" s="227"/>
      <c r="D939" s="226"/>
      <c r="E939" s="227"/>
      <c r="F939" s="227"/>
    </row>
    <row r="940" spans="2:6" ht="12.75">
      <c r="B940" s="226"/>
      <c r="C940" s="227"/>
      <c r="D940" s="226"/>
      <c r="E940" s="227"/>
      <c r="F940" s="227"/>
    </row>
    <row r="941" spans="2:6" ht="12.75">
      <c r="B941" s="226"/>
      <c r="C941" s="227"/>
      <c r="D941" s="226"/>
      <c r="E941" s="227"/>
      <c r="F941" s="227"/>
    </row>
    <row r="942" spans="2:6" ht="12.75">
      <c r="B942" s="226"/>
      <c r="C942" s="227"/>
      <c r="D942" s="226"/>
      <c r="E942" s="227"/>
      <c r="F942" s="227"/>
    </row>
    <row r="943" spans="2:6" ht="12.75">
      <c r="B943" s="226"/>
      <c r="C943" s="227"/>
      <c r="D943" s="226"/>
      <c r="E943" s="227"/>
      <c r="F943" s="227"/>
    </row>
    <row r="944" spans="2:6" ht="12.75">
      <c r="B944" s="226"/>
      <c r="C944" s="227"/>
      <c r="D944" s="226"/>
      <c r="E944" s="227"/>
      <c r="F944" s="227"/>
    </row>
    <row r="945" spans="2:6" ht="12.75">
      <c r="B945" s="226"/>
      <c r="C945" s="227"/>
      <c r="D945" s="226"/>
      <c r="E945" s="227"/>
      <c r="F945" s="227"/>
    </row>
    <row r="946" spans="2:6" ht="12.75">
      <c r="B946" s="226"/>
      <c r="C946" s="227"/>
      <c r="D946" s="226"/>
      <c r="E946" s="227"/>
      <c r="F946" s="227"/>
    </row>
    <row r="947" spans="2:6" ht="12.75">
      <c r="B947" s="226"/>
      <c r="C947" s="227"/>
      <c r="D947" s="226"/>
      <c r="E947" s="227"/>
      <c r="F947" s="227"/>
    </row>
    <row r="948" spans="2:6" ht="12.75">
      <c r="B948" s="226"/>
      <c r="C948" s="227"/>
      <c r="D948" s="226"/>
      <c r="E948" s="227"/>
      <c r="F948" s="227"/>
    </row>
    <row r="949" spans="2:6" ht="12.75">
      <c r="B949" s="226"/>
      <c r="C949" s="227"/>
      <c r="D949" s="226"/>
      <c r="E949" s="227"/>
      <c r="F949" s="227"/>
    </row>
    <row r="950" spans="2:6" ht="12.75">
      <c r="B950" s="226"/>
      <c r="C950" s="227"/>
      <c r="D950" s="226"/>
      <c r="E950" s="227"/>
      <c r="F950" s="227"/>
    </row>
    <row r="951" spans="2:6" ht="12.75">
      <c r="B951" s="226"/>
      <c r="C951" s="227"/>
      <c r="D951" s="226"/>
      <c r="E951" s="227"/>
      <c r="F951" s="227"/>
    </row>
    <row r="952" spans="2:6" ht="12.75">
      <c r="B952" s="226"/>
      <c r="C952" s="227"/>
      <c r="D952" s="226"/>
      <c r="E952" s="227"/>
      <c r="F952" s="227"/>
    </row>
    <row r="953" spans="2:6" ht="12.75">
      <c r="B953" s="226"/>
      <c r="C953" s="227"/>
      <c r="D953" s="226"/>
      <c r="E953" s="227"/>
      <c r="F953" s="227"/>
    </row>
    <row r="954" spans="2:6" ht="12.75">
      <c r="B954" s="226"/>
      <c r="C954" s="227"/>
      <c r="D954" s="226"/>
      <c r="E954" s="227"/>
      <c r="F954" s="227"/>
    </row>
    <row r="955" spans="2:6" ht="12.75">
      <c r="B955" s="226"/>
      <c r="C955" s="227"/>
      <c r="D955" s="226"/>
      <c r="E955" s="227"/>
      <c r="F955" s="227"/>
    </row>
    <row r="956" spans="2:6" ht="12.75">
      <c r="B956" s="226"/>
      <c r="C956" s="227"/>
      <c r="D956" s="226"/>
      <c r="E956" s="227"/>
      <c r="F956" s="227"/>
    </row>
    <row r="957" spans="2:6" ht="12.75">
      <c r="B957" s="226"/>
      <c r="C957" s="227"/>
      <c r="D957" s="226"/>
      <c r="E957" s="227"/>
      <c r="F957" s="227"/>
    </row>
    <row r="958" spans="2:6" ht="12.75">
      <c r="B958" s="226"/>
      <c r="C958" s="227"/>
      <c r="D958" s="226"/>
      <c r="E958" s="227"/>
      <c r="F958" s="227"/>
    </row>
    <row r="959" spans="2:6" ht="12.75">
      <c r="B959" s="226"/>
      <c r="C959" s="227"/>
      <c r="D959" s="226"/>
      <c r="E959" s="227"/>
      <c r="F959" s="227"/>
    </row>
    <row r="960" spans="2:6" ht="12.75">
      <c r="B960" s="226"/>
      <c r="C960" s="227"/>
      <c r="D960" s="226"/>
      <c r="E960" s="227"/>
      <c r="F960" s="227"/>
    </row>
    <row r="961" spans="2:6" ht="12.75">
      <c r="B961" s="226"/>
      <c r="C961" s="227"/>
      <c r="D961" s="226"/>
      <c r="E961" s="227"/>
      <c r="F961" s="227"/>
    </row>
    <row r="962" spans="2:6" ht="12.75">
      <c r="B962" s="226"/>
      <c r="C962" s="227"/>
      <c r="D962" s="226"/>
      <c r="E962" s="227"/>
      <c r="F962" s="227"/>
    </row>
    <row r="963" spans="2:6" ht="12.75">
      <c r="B963" s="226"/>
      <c r="C963" s="227"/>
      <c r="D963" s="226"/>
      <c r="E963" s="227"/>
      <c r="F963" s="227"/>
    </row>
    <row r="964" spans="2:6" ht="12.75">
      <c r="B964" s="226"/>
      <c r="C964" s="227"/>
      <c r="D964" s="226"/>
      <c r="E964" s="227"/>
      <c r="F964" s="227"/>
    </row>
    <row r="965" spans="2:6" ht="12.75">
      <c r="B965" s="226"/>
      <c r="C965" s="227"/>
      <c r="D965" s="226"/>
      <c r="E965" s="227"/>
      <c r="F965" s="227"/>
    </row>
    <row r="966" spans="2:6" ht="12.75">
      <c r="B966" s="226"/>
      <c r="C966" s="227"/>
      <c r="D966" s="226"/>
      <c r="E966" s="227"/>
      <c r="F966" s="227"/>
    </row>
    <row r="967" spans="2:6" ht="12.75">
      <c r="B967" s="226"/>
      <c r="C967" s="227"/>
      <c r="D967" s="226"/>
      <c r="E967" s="227"/>
      <c r="F967" s="227"/>
    </row>
    <row r="968" spans="2:6" ht="12.75">
      <c r="B968" s="226"/>
      <c r="C968" s="227"/>
      <c r="D968" s="226"/>
      <c r="E968" s="227"/>
      <c r="F968" s="227"/>
    </row>
    <row r="969" spans="2:6" ht="12.75">
      <c r="B969" s="226"/>
      <c r="C969" s="227"/>
      <c r="D969" s="226"/>
      <c r="E969" s="227"/>
      <c r="F969" s="227"/>
    </row>
    <row r="970" spans="2:6" ht="12.75">
      <c r="B970" s="226"/>
      <c r="C970" s="227"/>
      <c r="D970" s="226"/>
      <c r="E970" s="227"/>
      <c r="F970" s="227"/>
    </row>
    <row r="971" spans="2:6" ht="12.75">
      <c r="B971" s="226"/>
      <c r="C971" s="227"/>
      <c r="D971" s="226"/>
      <c r="E971" s="227"/>
      <c r="F971" s="227"/>
    </row>
    <row r="972" spans="2:6" ht="12.75">
      <c r="B972" s="226"/>
      <c r="C972" s="227"/>
      <c r="D972" s="226"/>
      <c r="E972" s="227"/>
      <c r="F972" s="227"/>
    </row>
    <row r="973" spans="2:6" ht="12.75">
      <c r="B973" s="226"/>
      <c r="C973" s="227"/>
      <c r="D973" s="226"/>
      <c r="E973" s="227"/>
      <c r="F973" s="227"/>
    </row>
    <row r="974" spans="2:6" ht="12.75">
      <c r="B974" s="226"/>
      <c r="C974" s="227"/>
      <c r="D974" s="226"/>
      <c r="E974" s="227"/>
      <c r="F974" s="227"/>
    </row>
    <row r="975" spans="2:6" ht="12.75">
      <c r="B975" s="226"/>
      <c r="C975" s="227"/>
      <c r="D975" s="226"/>
      <c r="E975" s="227"/>
      <c r="F975" s="227"/>
    </row>
    <row r="976" spans="2:6" ht="12.75">
      <c r="B976" s="226"/>
      <c r="C976" s="227"/>
      <c r="D976" s="226"/>
      <c r="E976" s="227"/>
      <c r="F976" s="227"/>
    </row>
    <row r="977" spans="2:6" ht="12.75">
      <c r="B977" s="226"/>
      <c r="C977" s="227"/>
      <c r="D977" s="226"/>
      <c r="E977" s="227"/>
      <c r="F977" s="227"/>
    </row>
    <row r="978" spans="2:6" ht="12.75">
      <c r="B978" s="226"/>
      <c r="C978" s="227"/>
      <c r="D978" s="226"/>
      <c r="E978" s="227"/>
      <c r="F978" s="227"/>
    </row>
    <row r="979" spans="2:6" ht="12.75">
      <c r="B979" s="226"/>
      <c r="C979" s="227"/>
      <c r="D979" s="226"/>
      <c r="E979" s="227"/>
      <c r="F979" s="227"/>
    </row>
    <row r="980" spans="2:6" ht="12.75">
      <c r="B980" s="226"/>
      <c r="C980" s="227"/>
      <c r="D980" s="226"/>
      <c r="E980" s="227"/>
      <c r="F980" s="227"/>
    </row>
    <row r="981" spans="2:6" ht="12.75">
      <c r="B981" s="226"/>
      <c r="C981" s="227"/>
      <c r="D981" s="226"/>
      <c r="E981" s="227"/>
      <c r="F981" s="227"/>
    </row>
    <row r="982" spans="2:6" ht="12.75">
      <c r="B982" s="226"/>
      <c r="C982" s="227"/>
      <c r="D982" s="226"/>
      <c r="E982" s="227"/>
      <c r="F982" s="227"/>
    </row>
    <row r="983" spans="2:6" ht="12.75">
      <c r="B983" s="226"/>
      <c r="C983" s="227"/>
      <c r="D983" s="226"/>
      <c r="E983" s="227"/>
      <c r="F983" s="227"/>
    </row>
    <row r="984" spans="2:6" ht="12.75">
      <c r="B984" s="226"/>
      <c r="C984" s="227"/>
      <c r="D984" s="226"/>
      <c r="E984" s="227"/>
      <c r="F984" s="227"/>
    </row>
    <row r="985" spans="2:6" ht="12.75">
      <c r="B985" s="226"/>
      <c r="C985" s="227"/>
      <c r="D985" s="226"/>
      <c r="E985" s="227"/>
      <c r="F985" s="227"/>
    </row>
    <row r="986" spans="2:6" ht="12.75">
      <c r="B986" s="226"/>
      <c r="C986" s="227"/>
      <c r="D986" s="226"/>
      <c r="E986" s="227"/>
      <c r="F986" s="227"/>
    </row>
    <row r="987" spans="2:6" ht="12.75">
      <c r="B987" s="226"/>
      <c r="C987" s="227"/>
      <c r="D987" s="226"/>
      <c r="E987" s="227"/>
      <c r="F987" s="227"/>
    </row>
    <row r="988" spans="2:6" ht="12.75">
      <c r="B988" s="226"/>
      <c r="C988" s="227"/>
      <c r="D988" s="226"/>
      <c r="E988" s="227"/>
      <c r="F988" s="227"/>
    </row>
    <row r="989" spans="2:6" ht="12.75">
      <c r="B989" s="226"/>
      <c r="C989" s="227"/>
      <c r="D989" s="226"/>
      <c r="E989" s="227"/>
      <c r="F989" s="227"/>
    </row>
    <row r="990" spans="2:6" ht="12.75">
      <c r="B990" s="226"/>
      <c r="C990" s="227"/>
      <c r="D990" s="226"/>
      <c r="E990" s="227"/>
      <c r="F990" s="227"/>
    </row>
    <row r="991" spans="2:6" ht="12.75">
      <c r="B991" s="226"/>
      <c r="C991" s="227"/>
      <c r="D991" s="226"/>
      <c r="E991" s="227"/>
      <c r="F991" s="227"/>
    </row>
    <row r="992" spans="2:6" ht="12.75">
      <c r="B992" s="226"/>
      <c r="C992" s="227"/>
      <c r="D992" s="226"/>
      <c r="E992" s="227"/>
      <c r="F992" s="227"/>
    </row>
    <row r="993" spans="2:6" ht="12.75">
      <c r="B993" s="226"/>
      <c r="C993" s="227"/>
      <c r="D993" s="226"/>
      <c r="E993" s="227"/>
      <c r="F993" s="227"/>
    </row>
    <row r="994" spans="2:6" ht="12.75">
      <c r="B994" s="226"/>
      <c r="C994" s="227"/>
      <c r="D994" s="226"/>
      <c r="E994" s="227"/>
      <c r="F994" s="227"/>
    </row>
    <row r="995" spans="2:6" ht="12.75">
      <c r="B995" s="226"/>
      <c r="C995" s="227"/>
      <c r="D995" s="226"/>
      <c r="E995" s="227"/>
      <c r="F995" s="227"/>
    </row>
    <row r="996" spans="2:6" ht="12.75">
      <c r="B996" s="226"/>
      <c r="C996" s="227"/>
      <c r="D996" s="226"/>
      <c r="E996" s="227"/>
      <c r="F996" s="227"/>
    </row>
    <row r="997" spans="2:6" ht="12.75">
      <c r="B997" s="226"/>
      <c r="C997" s="227"/>
      <c r="D997" s="226"/>
      <c r="E997" s="227"/>
      <c r="F997" s="227"/>
    </row>
    <row r="998" spans="2:6" ht="12.75">
      <c r="B998" s="226"/>
      <c r="C998" s="227"/>
      <c r="D998" s="226"/>
      <c r="E998" s="227"/>
      <c r="F998" s="227"/>
    </row>
    <row r="999" spans="2:6" ht="12.75">
      <c r="B999" s="226"/>
      <c r="C999" s="227"/>
      <c r="D999" s="226"/>
      <c r="E999" s="227"/>
      <c r="F999" s="227"/>
    </row>
    <row r="1000" spans="2:6" ht="12.75">
      <c r="B1000" s="226"/>
      <c r="C1000" s="227"/>
      <c r="D1000" s="226"/>
      <c r="E1000" s="227"/>
      <c r="F1000" s="227"/>
    </row>
    <row r="1001" spans="2:6" ht="12.75">
      <c r="B1001" s="226"/>
      <c r="C1001" s="227"/>
      <c r="D1001" s="226"/>
      <c r="E1001" s="227"/>
      <c r="F1001" s="227"/>
    </row>
    <row r="1002" spans="2:6" ht="12.75">
      <c r="B1002" s="226"/>
      <c r="C1002" s="227"/>
      <c r="D1002" s="226"/>
      <c r="E1002" s="227"/>
      <c r="F1002" s="227"/>
    </row>
    <row r="1003" spans="2:6" ht="12.75">
      <c r="B1003" s="226"/>
      <c r="C1003" s="227"/>
      <c r="D1003" s="226"/>
      <c r="E1003" s="227"/>
      <c r="F1003" s="227"/>
    </row>
    <row r="1004" spans="2:6" ht="12.75">
      <c r="B1004" s="226"/>
      <c r="C1004" s="227"/>
      <c r="D1004" s="226"/>
      <c r="E1004" s="227"/>
      <c r="F1004" s="227"/>
    </row>
    <row r="1005" spans="2:6" ht="12.75">
      <c r="B1005" s="226"/>
      <c r="C1005" s="227"/>
      <c r="D1005" s="226"/>
      <c r="E1005" s="227"/>
      <c r="F1005" s="227"/>
    </row>
    <row r="1006" spans="2:6" ht="12.75">
      <c r="B1006" s="226"/>
      <c r="C1006" s="227"/>
      <c r="D1006" s="226"/>
      <c r="E1006" s="227"/>
      <c r="F1006" s="227"/>
    </row>
    <row r="1007" spans="2:6" ht="12.75">
      <c r="B1007" s="226"/>
      <c r="C1007" s="227"/>
      <c r="D1007" s="226"/>
      <c r="E1007" s="227"/>
      <c r="F1007" s="227"/>
    </row>
    <row r="1008" spans="2:6" ht="12.75">
      <c r="B1008" s="226"/>
      <c r="C1008" s="227"/>
      <c r="D1008" s="226"/>
      <c r="E1008" s="227"/>
      <c r="F1008" s="227"/>
    </row>
    <row r="1009" spans="2:6" ht="12.75">
      <c r="B1009" s="226"/>
      <c r="C1009" s="227"/>
      <c r="D1009" s="226"/>
      <c r="E1009" s="227"/>
      <c r="F1009" s="227"/>
    </row>
    <row r="1010" spans="2:6" ht="12.75">
      <c r="B1010" s="226"/>
      <c r="C1010" s="227"/>
      <c r="D1010" s="226"/>
      <c r="E1010" s="227"/>
      <c r="F1010" s="227"/>
    </row>
    <row r="1011" spans="2:6" ht="12.75">
      <c r="B1011" s="226"/>
      <c r="C1011" s="227"/>
      <c r="D1011" s="226"/>
      <c r="E1011" s="227"/>
      <c r="F1011" s="227"/>
    </row>
    <row r="1012" spans="2:6" ht="12.75">
      <c r="B1012" s="226"/>
      <c r="C1012" s="227"/>
      <c r="D1012" s="226"/>
      <c r="E1012" s="227"/>
      <c r="F1012" s="227"/>
    </row>
    <row r="1013" spans="2:6" ht="12.75">
      <c r="B1013" s="226"/>
      <c r="C1013" s="227"/>
      <c r="D1013" s="226"/>
      <c r="E1013" s="227"/>
      <c r="F1013" s="227"/>
    </row>
    <row r="1014" spans="2:6" ht="12.75">
      <c r="B1014" s="226"/>
      <c r="C1014" s="227"/>
      <c r="D1014" s="226"/>
      <c r="E1014" s="227"/>
      <c r="F1014" s="227"/>
    </row>
    <row r="1015" spans="2:6" ht="12.75">
      <c r="B1015" s="226"/>
      <c r="C1015" s="227"/>
      <c r="D1015" s="226"/>
      <c r="E1015" s="227"/>
      <c r="F1015" s="227"/>
    </row>
    <row r="1016" spans="2:6" ht="12.75">
      <c r="B1016" s="226"/>
      <c r="C1016" s="227"/>
      <c r="D1016" s="226"/>
      <c r="E1016" s="227"/>
      <c r="F1016" s="227"/>
    </row>
    <row r="1017" spans="2:6" ht="12.75">
      <c r="B1017" s="226"/>
      <c r="C1017" s="227"/>
      <c r="D1017" s="226"/>
      <c r="E1017" s="227"/>
      <c r="F1017" s="227"/>
    </row>
    <row r="1018" spans="2:6" ht="12.75">
      <c r="B1018" s="226"/>
      <c r="C1018" s="227"/>
      <c r="D1018" s="226"/>
      <c r="E1018" s="227"/>
      <c r="F1018" s="227"/>
    </row>
    <row r="1019" spans="2:6" ht="12.75">
      <c r="B1019" s="226"/>
      <c r="C1019" s="227"/>
      <c r="D1019" s="226"/>
      <c r="E1019" s="227"/>
      <c r="F1019" s="227"/>
    </row>
    <row r="1020" spans="2:6" ht="12.75">
      <c r="B1020" s="226"/>
      <c r="C1020" s="227"/>
      <c r="D1020" s="226"/>
      <c r="E1020" s="227"/>
      <c r="F1020" s="227"/>
    </row>
    <row r="1021" spans="2:6" ht="12.75">
      <c r="B1021" s="226"/>
      <c r="C1021" s="227"/>
      <c r="D1021" s="226"/>
      <c r="E1021" s="227"/>
      <c r="F1021" s="227"/>
    </row>
    <row r="1022" spans="2:6" ht="12.75">
      <c r="B1022" s="226"/>
      <c r="C1022" s="227"/>
      <c r="D1022" s="226"/>
      <c r="E1022" s="227"/>
      <c r="F1022" s="227"/>
    </row>
    <row r="1023" spans="2:6" ht="12.75">
      <c r="B1023" s="226"/>
      <c r="C1023" s="227"/>
      <c r="D1023" s="226"/>
      <c r="E1023" s="227"/>
      <c r="F1023" s="227"/>
    </row>
    <row r="1024" spans="2:6" ht="12.75">
      <c r="B1024" s="226"/>
      <c r="C1024" s="227"/>
      <c r="D1024" s="226"/>
      <c r="E1024" s="227"/>
      <c r="F1024" s="227"/>
    </row>
    <row r="1025" spans="2:6" ht="12.75">
      <c r="B1025" s="226"/>
      <c r="C1025" s="227"/>
      <c r="D1025" s="226"/>
      <c r="E1025" s="227"/>
      <c r="F1025" s="227"/>
    </row>
    <row r="1026" spans="2:6" ht="12.75">
      <c r="B1026" s="226"/>
      <c r="C1026" s="227"/>
      <c r="D1026" s="226"/>
      <c r="E1026" s="227"/>
      <c r="F1026" s="227"/>
    </row>
    <row r="1027" spans="2:6" ht="12.75">
      <c r="B1027" s="226"/>
      <c r="C1027" s="227"/>
      <c r="D1027" s="226"/>
      <c r="E1027" s="227"/>
      <c r="F1027" s="227"/>
    </row>
    <row r="1028" spans="2:6" ht="12.75">
      <c r="B1028" s="226"/>
      <c r="C1028" s="227"/>
      <c r="D1028" s="226"/>
      <c r="E1028" s="227"/>
      <c r="F1028" s="227"/>
    </row>
    <row r="1029" spans="2:6" ht="12.75">
      <c r="B1029" s="226"/>
      <c r="C1029" s="227"/>
      <c r="D1029" s="226"/>
      <c r="E1029" s="227"/>
      <c r="F1029" s="227"/>
    </row>
    <row r="1030" spans="2:6" ht="12.75">
      <c r="B1030" s="226"/>
      <c r="C1030" s="227"/>
      <c r="D1030" s="226"/>
      <c r="E1030" s="227"/>
      <c r="F1030" s="227"/>
    </row>
    <row r="1031" spans="2:6" ht="12.75">
      <c r="B1031" s="226"/>
      <c r="C1031" s="227"/>
      <c r="D1031" s="226"/>
      <c r="E1031" s="227"/>
      <c r="F1031" s="227"/>
    </row>
    <row r="1032" spans="2:6" ht="12.75">
      <c r="B1032" s="226"/>
      <c r="C1032" s="227"/>
      <c r="D1032" s="226"/>
      <c r="E1032" s="227"/>
      <c r="F1032" s="227"/>
    </row>
    <row r="1033" spans="2:6" ht="12.75">
      <c r="B1033" s="226"/>
      <c r="C1033" s="227"/>
      <c r="D1033" s="226"/>
      <c r="E1033" s="227"/>
      <c r="F1033" s="227"/>
    </row>
    <row r="1034" spans="2:6" ht="12.75">
      <c r="B1034" s="226"/>
      <c r="C1034" s="227"/>
      <c r="D1034" s="226"/>
      <c r="E1034" s="227"/>
      <c r="F1034" s="227"/>
    </row>
    <row r="1035" spans="2:6" ht="12.75">
      <c r="B1035" s="226"/>
      <c r="C1035" s="227"/>
      <c r="D1035" s="226"/>
      <c r="E1035" s="227"/>
      <c r="F1035" s="227"/>
    </row>
    <row r="1036" spans="2:6" ht="12.75">
      <c r="B1036" s="226"/>
      <c r="C1036" s="227"/>
      <c r="D1036" s="226"/>
      <c r="E1036" s="227"/>
      <c r="F1036" s="227"/>
    </row>
    <row r="1037" spans="2:6" ht="12.75">
      <c r="B1037" s="226"/>
      <c r="C1037" s="227"/>
      <c r="D1037" s="226"/>
      <c r="E1037" s="227"/>
      <c r="F1037" s="227"/>
    </row>
    <row r="1038" spans="2:6" ht="12.75">
      <c r="B1038" s="226"/>
      <c r="C1038" s="227"/>
      <c r="D1038" s="226"/>
      <c r="E1038" s="227"/>
      <c r="F1038" s="227"/>
    </row>
    <row r="1039" spans="2:6" ht="12.75">
      <c r="B1039" s="226"/>
      <c r="C1039" s="227"/>
      <c r="D1039" s="226"/>
      <c r="E1039" s="227"/>
      <c r="F1039" s="227"/>
    </row>
    <row r="1040" spans="2:6" ht="12.75">
      <c r="B1040" s="226"/>
      <c r="C1040" s="227"/>
      <c r="D1040" s="226"/>
      <c r="E1040" s="227"/>
      <c r="F1040" s="227"/>
    </row>
    <row r="1041" spans="2:6" ht="12.75">
      <c r="B1041" s="226"/>
      <c r="C1041" s="227"/>
      <c r="D1041" s="226"/>
      <c r="E1041" s="227"/>
      <c r="F1041" s="227"/>
    </row>
    <row r="1042" spans="2:6" ht="12.75">
      <c r="B1042" s="226"/>
      <c r="C1042" s="227"/>
      <c r="D1042" s="226"/>
      <c r="E1042" s="227"/>
      <c r="F1042" s="227"/>
    </row>
    <row r="1043" spans="2:6" ht="12.75">
      <c r="B1043" s="226"/>
      <c r="C1043" s="227"/>
      <c r="D1043" s="226"/>
      <c r="E1043" s="227"/>
      <c r="F1043" s="227"/>
    </row>
    <row r="1044" spans="2:6" ht="12.75">
      <c r="B1044" s="226"/>
      <c r="C1044" s="227"/>
      <c r="D1044" s="226"/>
      <c r="E1044" s="227"/>
      <c r="F1044" s="227"/>
    </row>
    <row r="1045" spans="2:6" ht="12.75">
      <c r="B1045" s="226"/>
      <c r="C1045" s="227"/>
      <c r="D1045" s="226"/>
      <c r="E1045" s="227"/>
      <c r="F1045" s="227"/>
    </row>
    <row r="1046" spans="2:6" ht="12.75">
      <c r="B1046" s="226"/>
      <c r="C1046" s="227"/>
      <c r="D1046" s="226"/>
      <c r="E1046" s="227"/>
      <c r="F1046" s="227"/>
    </row>
    <row r="1047" spans="2:6" ht="12.75">
      <c r="B1047" s="226"/>
      <c r="C1047" s="227"/>
      <c r="D1047" s="226"/>
      <c r="E1047" s="227"/>
      <c r="F1047" s="227"/>
    </row>
    <row r="1048" spans="2:6" ht="12.75">
      <c r="B1048" s="226"/>
      <c r="C1048" s="227"/>
      <c r="D1048" s="226"/>
      <c r="E1048" s="227"/>
      <c r="F1048" s="227"/>
    </row>
    <row r="1049" spans="2:6" ht="12.75">
      <c r="B1049" s="226"/>
      <c r="C1049" s="227"/>
      <c r="D1049" s="226"/>
      <c r="E1049" s="227"/>
      <c r="F1049" s="227"/>
    </row>
    <row r="1050" spans="2:6" ht="12.75">
      <c r="B1050" s="226"/>
      <c r="C1050" s="227"/>
      <c r="D1050" s="226"/>
      <c r="E1050" s="227"/>
      <c r="F1050" s="227"/>
    </row>
    <row r="1051" spans="2:6" ht="12.75">
      <c r="B1051" s="226"/>
      <c r="C1051" s="227"/>
      <c r="D1051" s="226"/>
      <c r="E1051" s="227"/>
      <c r="F1051" s="227"/>
    </row>
    <row r="1052" spans="2:6" ht="12.75">
      <c r="B1052" s="226"/>
      <c r="C1052" s="227"/>
      <c r="D1052" s="226"/>
      <c r="E1052" s="227"/>
      <c r="F1052" s="227"/>
    </row>
    <row r="1053" spans="2:6" ht="12.75">
      <c r="B1053" s="226"/>
      <c r="C1053" s="227"/>
      <c r="D1053" s="226"/>
      <c r="E1053" s="227"/>
      <c r="F1053" s="227"/>
    </row>
    <row r="1054" spans="2:6" ht="12.75">
      <c r="B1054" s="226"/>
      <c r="C1054" s="227"/>
      <c r="D1054" s="226"/>
      <c r="E1054" s="227"/>
      <c r="F1054" s="227"/>
    </row>
    <row r="1055" spans="2:6" ht="12.75">
      <c r="B1055" s="226"/>
      <c r="C1055" s="227"/>
      <c r="D1055" s="226"/>
      <c r="E1055" s="227"/>
      <c r="F1055" s="227"/>
    </row>
    <row r="1056" spans="2:6" ht="12.75">
      <c r="B1056" s="226"/>
      <c r="C1056" s="227"/>
      <c r="D1056" s="226"/>
      <c r="E1056" s="227"/>
      <c r="F1056" s="227"/>
    </row>
    <row r="1057" spans="2:6" ht="12.75">
      <c r="B1057" s="226"/>
      <c r="C1057" s="227"/>
      <c r="D1057" s="226"/>
      <c r="E1057" s="227"/>
      <c r="F1057" s="227"/>
    </row>
    <row r="1058" spans="2:6" ht="12.75">
      <c r="B1058" s="226"/>
      <c r="C1058" s="227"/>
      <c r="D1058" s="226"/>
      <c r="E1058" s="227"/>
      <c r="F1058" s="227"/>
    </row>
    <row r="1059" spans="2:6" ht="12.75">
      <c r="B1059" s="226"/>
      <c r="C1059" s="227"/>
      <c r="D1059" s="226"/>
      <c r="E1059" s="227"/>
      <c r="F1059" s="227"/>
    </row>
    <row r="1060" spans="2:6" ht="12.75">
      <c r="B1060" s="226"/>
      <c r="C1060" s="227"/>
      <c r="D1060" s="226"/>
      <c r="E1060" s="227"/>
      <c r="F1060" s="227"/>
    </row>
    <row r="1061" spans="2:6" ht="12.75">
      <c r="B1061" s="226"/>
      <c r="C1061" s="227"/>
      <c r="D1061" s="226"/>
      <c r="E1061" s="227"/>
      <c r="F1061" s="227"/>
    </row>
    <row r="1062" spans="2:6" ht="12.75">
      <c r="B1062" s="226"/>
      <c r="C1062" s="227"/>
      <c r="D1062" s="226"/>
      <c r="E1062" s="227"/>
      <c r="F1062" s="227"/>
    </row>
    <row r="1063" spans="2:6" ht="12.75">
      <c r="B1063" s="226"/>
      <c r="C1063" s="227"/>
      <c r="D1063" s="226"/>
      <c r="E1063" s="227"/>
      <c r="F1063" s="227"/>
    </row>
    <row r="1064" spans="2:6" ht="12.75">
      <c r="B1064" s="226"/>
      <c r="C1064" s="227"/>
      <c r="D1064" s="226"/>
      <c r="E1064" s="227"/>
      <c r="F1064" s="227"/>
    </row>
    <row r="1065" spans="2:6" ht="12.75">
      <c r="B1065" s="226"/>
      <c r="C1065" s="227"/>
      <c r="D1065" s="226"/>
      <c r="E1065" s="227"/>
      <c r="F1065" s="227"/>
    </row>
    <row r="1066" spans="2:6" ht="12.75">
      <c r="B1066" s="226"/>
      <c r="C1066" s="227"/>
      <c r="D1066" s="226"/>
      <c r="E1066" s="227"/>
      <c r="F1066" s="227"/>
    </row>
    <row r="1067" spans="2:6" ht="12.75">
      <c r="B1067" s="226"/>
      <c r="C1067" s="227"/>
      <c r="D1067" s="226"/>
      <c r="E1067" s="227"/>
      <c r="F1067" s="227"/>
    </row>
    <row r="1068" spans="2:6" ht="12.75">
      <c r="B1068" s="226"/>
      <c r="C1068" s="227"/>
      <c r="D1068" s="226"/>
      <c r="E1068" s="227"/>
      <c r="F1068" s="227"/>
    </row>
    <row r="1069" spans="2:6" ht="12.75">
      <c r="B1069" s="226"/>
      <c r="C1069" s="227"/>
      <c r="D1069" s="226"/>
      <c r="E1069" s="227"/>
      <c r="F1069" s="227"/>
    </row>
    <row r="1070" spans="2:6" ht="12.75">
      <c r="B1070" s="226"/>
      <c r="C1070" s="227"/>
      <c r="D1070" s="226"/>
      <c r="E1070" s="227"/>
      <c r="F1070" s="227"/>
    </row>
    <row r="1071" spans="2:6" ht="12.75">
      <c r="B1071" s="226"/>
      <c r="C1071" s="227"/>
      <c r="D1071" s="226"/>
      <c r="E1071" s="227"/>
      <c r="F1071" s="227"/>
    </row>
    <row r="1072" spans="2:6" ht="12.75">
      <c r="B1072" s="226"/>
      <c r="C1072" s="227"/>
      <c r="D1072" s="226"/>
      <c r="E1072" s="227"/>
      <c r="F1072" s="227"/>
    </row>
    <row r="1073" spans="2:6" ht="12.75">
      <c r="B1073" s="226"/>
      <c r="C1073" s="227"/>
      <c r="D1073" s="226"/>
      <c r="E1073" s="227"/>
      <c r="F1073" s="227"/>
    </row>
    <row r="1074" spans="2:6" ht="12.75">
      <c r="B1074" s="226"/>
      <c r="C1074" s="227"/>
      <c r="D1074" s="226"/>
      <c r="E1074" s="227"/>
      <c r="F1074" s="227"/>
    </row>
    <row r="1075" spans="2:6" ht="12.75">
      <c r="B1075" s="226"/>
      <c r="C1075" s="227"/>
      <c r="D1075" s="226"/>
      <c r="E1075" s="227"/>
      <c r="F1075" s="227"/>
    </row>
    <row r="1076" spans="2:6" ht="12.75">
      <c r="B1076" s="226"/>
      <c r="C1076" s="227"/>
      <c r="D1076" s="226"/>
      <c r="E1076" s="227"/>
      <c r="F1076" s="227"/>
    </row>
    <row r="1077" spans="2:6" ht="12.75">
      <c r="B1077" s="226"/>
      <c r="C1077" s="227"/>
      <c r="D1077" s="226"/>
      <c r="E1077" s="227"/>
      <c r="F1077" s="227"/>
    </row>
    <row r="1078" spans="2:6" ht="12.75">
      <c r="B1078" s="226"/>
      <c r="C1078" s="227"/>
      <c r="D1078" s="226"/>
      <c r="E1078" s="227"/>
      <c r="F1078" s="227"/>
    </row>
    <row r="1079" spans="2:6" ht="12.75">
      <c r="B1079" s="226"/>
      <c r="C1079" s="227"/>
      <c r="D1079" s="226"/>
      <c r="E1079" s="227"/>
      <c r="F1079" s="227"/>
    </row>
    <row r="1080" spans="2:6" ht="12.75">
      <c r="B1080" s="226"/>
      <c r="C1080" s="227"/>
      <c r="D1080" s="226"/>
      <c r="E1080" s="227"/>
      <c r="F1080" s="227"/>
    </row>
    <row r="1081" spans="2:6" ht="12.75">
      <c r="B1081" s="226"/>
      <c r="C1081" s="227"/>
      <c r="D1081" s="226"/>
      <c r="E1081" s="227"/>
      <c r="F1081" s="227"/>
    </row>
    <row r="1082" spans="2:6" ht="12.75">
      <c r="B1082" s="226"/>
      <c r="C1082" s="227"/>
      <c r="D1082" s="226"/>
      <c r="E1082" s="227"/>
      <c r="F1082" s="227"/>
    </row>
    <row r="1083" spans="2:6" ht="12.75">
      <c r="B1083" s="226"/>
      <c r="C1083" s="227"/>
      <c r="D1083" s="226"/>
      <c r="E1083" s="227"/>
      <c r="F1083" s="227"/>
    </row>
    <row r="1084" spans="2:6" ht="12.75">
      <c r="B1084" s="226"/>
      <c r="C1084" s="227"/>
      <c r="D1084" s="226"/>
      <c r="E1084" s="227"/>
      <c r="F1084" s="227"/>
    </row>
    <row r="1085" spans="2:6" ht="12.75">
      <c r="B1085" s="226"/>
      <c r="C1085" s="227"/>
      <c r="D1085" s="226"/>
      <c r="E1085" s="227"/>
      <c r="F1085" s="227"/>
    </row>
    <row r="1086" spans="2:6" ht="12.75">
      <c r="B1086" s="226"/>
      <c r="C1086" s="227"/>
      <c r="D1086" s="226"/>
      <c r="E1086" s="227"/>
      <c r="F1086" s="227"/>
    </row>
    <row r="1087" spans="2:6" ht="12.75">
      <c r="B1087" s="226"/>
      <c r="C1087" s="227"/>
      <c r="D1087" s="226"/>
      <c r="E1087" s="227"/>
      <c r="F1087" s="227"/>
    </row>
    <row r="1088" spans="2:6" ht="12.75">
      <c r="B1088" s="226"/>
      <c r="C1088" s="227"/>
      <c r="D1088" s="226"/>
      <c r="E1088" s="227"/>
      <c r="F1088" s="227"/>
    </row>
    <row r="1089" spans="2:6" ht="12.75">
      <c r="B1089" s="226"/>
      <c r="C1089" s="227"/>
      <c r="D1089" s="226"/>
      <c r="E1089" s="227"/>
      <c r="F1089" s="227"/>
    </row>
    <row r="1090" spans="2:6" ht="12.75">
      <c r="B1090" s="226"/>
      <c r="C1090" s="227"/>
      <c r="D1090" s="226"/>
      <c r="E1090" s="227"/>
      <c r="F1090" s="227"/>
    </row>
    <row r="1091" spans="2:6" ht="12.75">
      <c r="B1091" s="226"/>
      <c r="C1091" s="227"/>
      <c r="D1091" s="226"/>
      <c r="E1091" s="227"/>
      <c r="F1091" s="227"/>
    </row>
    <row r="1092" spans="2:6" ht="12.75">
      <c r="B1092" s="226"/>
      <c r="C1092" s="227"/>
      <c r="D1092" s="226"/>
      <c r="E1092" s="227"/>
      <c r="F1092" s="227"/>
    </row>
    <row r="1093" spans="2:6" ht="12.75">
      <c r="B1093" s="226"/>
      <c r="C1093" s="227"/>
      <c r="D1093" s="226"/>
      <c r="E1093" s="227"/>
      <c r="F1093" s="227"/>
    </row>
    <row r="1094" spans="2:6" ht="12.75">
      <c r="B1094" s="226"/>
      <c r="C1094" s="227"/>
      <c r="D1094" s="226"/>
      <c r="E1094" s="227"/>
      <c r="F1094" s="227"/>
    </row>
    <row r="1095" spans="2:6" ht="12.75">
      <c r="B1095" s="226"/>
      <c r="C1095" s="227"/>
      <c r="D1095" s="226"/>
      <c r="E1095" s="227"/>
      <c r="F1095" s="227"/>
    </row>
    <row r="1096" spans="2:6" ht="12.75">
      <c r="B1096" s="226"/>
      <c r="C1096" s="227"/>
      <c r="D1096" s="226"/>
      <c r="E1096" s="227"/>
      <c r="F1096" s="227"/>
    </row>
    <row r="1097" spans="2:6" ht="12.75">
      <c r="B1097" s="226"/>
      <c r="C1097" s="227"/>
      <c r="D1097" s="226"/>
      <c r="E1097" s="227"/>
      <c r="F1097" s="227"/>
    </row>
    <row r="1098" spans="2:6" ht="12.75">
      <c r="B1098" s="226"/>
      <c r="C1098" s="227"/>
      <c r="D1098" s="226"/>
      <c r="E1098" s="227"/>
      <c r="F1098" s="227"/>
    </row>
    <row r="1099" spans="2:6" ht="12.75">
      <c r="B1099" s="226"/>
      <c r="C1099" s="227"/>
      <c r="D1099" s="226"/>
      <c r="E1099" s="227"/>
      <c r="F1099" s="227"/>
    </row>
    <row r="1100" spans="2:6" ht="12.75">
      <c r="B1100" s="226"/>
      <c r="C1100" s="227"/>
      <c r="D1100" s="226"/>
      <c r="E1100" s="227"/>
      <c r="F1100" s="227"/>
    </row>
    <row r="1101" spans="2:6" ht="12.75">
      <c r="B1101" s="226"/>
      <c r="C1101" s="227"/>
      <c r="D1101" s="226"/>
      <c r="E1101" s="227"/>
      <c r="F1101" s="227"/>
    </row>
    <row r="1102" spans="2:6" ht="12.75">
      <c r="B1102" s="226"/>
      <c r="C1102" s="227"/>
      <c r="D1102" s="226"/>
      <c r="E1102" s="227"/>
      <c r="F1102" s="227"/>
    </row>
    <row r="1103" spans="2:6" ht="12.75">
      <c r="B1103" s="226"/>
      <c r="C1103" s="227"/>
      <c r="D1103" s="226"/>
      <c r="E1103" s="227"/>
      <c r="F1103" s="227"/>
    </row>
    <row r="1104" spans="2:6" ht="12.75">
      <c r="B1104" s="226"/>
      <c r="C1104" s="227"/>
      <c r="D1104" s="226"/>
      <c r="E1104" s="227"/>
      <c r="F1104" s="227"/>
    </row>
    <row r="1105" spans="2:6" ht="12.75">
      <c r="B1105" s="226"/>
      <c r="C1105" s="227"/>
      <c r="D1105" s="226"/>
      <c r="E1105" s="227"/>
      <c r="F1105" s="227"/>
    </row>
    <row r="1106" spans="2:6" ht="12.75">
      <c r="B1106" s="226"/>
      <c r="C1106" s="227"/>
      <c r="D1106" s="226"/>
      <c r="E1106" s="227"/>
      <c r="F1106" s="227"/>
    </row>
    <row r="1107" spans="2:6" ht="12.75">
      <c r="B1107" s="226"/>
      <c r="C1107" s="227"/>
      <c r="D1107" s="226"/>
      <c r="E1107" s="227"/>
      <c r="F1107" s="227"/>
    </row>
    <row r="1108" spans="2:6" ht="12.75">
      <c r="B1108" s="226"/>
      <c r="C1108" s="227"/>
      <c r="D1108" s="226"/>
      <c r="E1108" s="227"/>
      <c r="F1108" s="227"/>
    </row>
    <row r="1109" spans="2:6" ht="12.75">
      <c r="B1109" s="226"/>
      <c r="C1109" s="227"/>
      <c r="D1109" s="226"/>
      <c r="E1109" s="227"/>
      <c r="F1109" s="227"/>
    </row>
    <row r="1110" spans="2:6" ht="12.75">
      <c r="B1110" s="226"/>
      <c r="C1110" s="227"/>
      <c r="D1110" s="226"/>
      <c r="E1110" s="227"/>
      <c r="F1110" s="227"/>
    </row>
    <row r="1111" spans="2:6" ht="12.75">
      <c r="B1111" s="226"/>
      <c r="C1111" s="227"/>
      <c r="D1111" s="226"/>
      <c r="E1111" s="227"/>
      <c r="F1111" s="227"/>
    </row>
    <row r="1112" spans="2:6" ht="12.75">
      <c r="B1112" s="226"/>
      <c r="C1112" s="227"/>
      <c r="D1112" s="226"/>
      <c r="E1112" s="227"/>
      <c r="F1112" s="227"/>
    </row>
    <row r="1113" spans="2:6" ht="12.75">
      <c r="B1113" s="226"/>
      <c r="C1113" s="227"/>
      <c r="D1113" s="226"/>
      <c r="E1113" s="227"/>
      <c r="F1113" s="227"/>
    </row>
    <row r="1114" spans="2:6" ht="12.75">
      <c r="B1114" s="226"/>
      <c r="C1114" s="227"/>
      <c r="D1114" s="226"/>
      <c r="E1114" s="227"/>
      <c r="F1114" s="227"/>
    </row>
    <row r="1115" spans="2:6" ht="12.75">
      <c r="B1115" s="226"/>
      <c r="C1115" s="227"/>
      <c r="D1115" s="226"/>
      <c r="E1115" s="227"/>
      <c r="F1115" s="227"/>
    </row>
    <row r="1116" spans="2:6" ht="12.75">
      <c r="B1116" s="226"/>
      <c r="C1116" s="227"/>
      <c r="D1116" s="226"/>
      <c r="E1116" s="227"/>
      <c r="F1116" s="227"/>
    </row>
    <row r="1117" spans="2:6" ht="12.75">
      <c r="B1117" s="226"/>
      <c r="C1117" s="227"/>
      <c r="D1117" s="226"/>
      <c r="E1117" s="227"/>
      <c r="F1117" s="227"/>
    </row>
    <row r="1118" spans="2:6" ht="12.75">
      <c r="B1118" s="226"/>
      <c r="C1118" s="227"/>
      <c r="D1118" s="226"/>
      <c r="E1118" s="227"/>
      <c r="F1118" s="227"/>
    </row>
    <row r="1119" spans="2:6" ht="12.75">
      <c r="B1119" s="226"/>
      <c r="C1119" s="227"/>
      <c r="D1119" s="226"/>
      <c r="E1119" s="227"/>
      <c r="F1119" s="227"/>
    </row>
    <row r="1120" spans="2:6" ht="12.75">
      <c r="B1120" s="226"/>
      <c r="C1120" s="227"/>
      <c r="D1120" s="226"/>
      <c r="E1120" s="227"/>
      <c r="F1120" s="227"/>
    </row>
    <row r="1121" spans="2:6" ht="12.75">
      <c r="B1121" s="226"/>
      <c r="C1121" s="227"/>
      <c r="D1121" s="226"/>
      <c r="E1121" s="227"/>
      <c r="F1121" s="227"/>
    </row>
    <row r="1122" spans="2:6" ht="12.75">
      <c r="B1122" s="226"/>
      <c r="C1122" s="227"/>
      <c r="D1122" s="226"/>
      <c r="E1122" s="227"/>
      <c r="F1122" s="227"/>
    </row>
    <row r="1123" spans="2:6" ht="12.75">
      <c r="B1123" s="226"/>
      <c r="C1123" s="227"/>
      <c r="D1123" s="226"/>
      <c r="E1123" s="227"/>
      <c r="F1123" s="227"/>
    </row>
    <row r="1124" spans="2:6" ht="12.75">
      <c r="B1124" s="226"/>
      <c r="C1124" s="227"/>
      <c r="D1124" s="226"/>
      <c r="E1124" s="227"/>
      <c r="F1124" s="227"/>
    </row>
    <row r="1125" spans="2:6" ht="12.75">
      <c r="B1125" s="226"/>
      <c r="C1125" s="227"/>
      <c r="D1125" s="226"/>
      <c r="E1125" s="227"/>
      <c r="F1125" s="227"/>
    </row>
    <row r="1126" spans="2:6" ht="12.75">
      <c r="B1126" s="226"/>
      <c r="C1126" s="227"/>
      <c r="D1126" s="226"/>
      <c r="E1126" s="227"/>
      <c r="F1126" s="227"/>
    </row>
    <row r="1127" spans="2:6" ht="12.75">
      <c r="B1127" s="226"/>
      <c r="C1127" s="227"/>
      <c r="D1127" s="226"/>
      <c r="E1127" s="227"/>
      <c r="F1127" s="227"/>
    </row>
    <row r="1128" spans="2:6" ht="12.75">
      <c r="B1128" s="226"/>
      <c r="C1128" s="227"/>
      <c r="D1128" s="226"/>
      <c r="E1128" s="227"/>
      <c r="F1128" s="227"/>
    </row>
    <row r="1129" spans="2:6" ht="12.75">
      <c r="B1129" s="226"/>
      <c r="C1129" s="227"/>
      <c r="D1129" s="226"/>
      <c r="E1129" s="227"/>
      <c r="F1129" s="227"/>
    </row>
    <row r="1130" spans="2:6" ht="12.75">
      <c r="B1130" s="226"/>
      <c r="C1130" s="227"/>
      <c r="D1130" s="226"/>
      <c r="E1130" s="227"/>
      <c r="F1130" s="227"/>
    </row>
    <row r="1131" spans="2:6" ht="12.75">
      <c r="B1131" s="226"/>
      <c r="C1131" s="227"/>
      <c r="D1131" s="226"/>
      <c r="E1131" s="227"/>
      <c r="F1131" s="227"/>
    </row>
    <row r="1132" spans="2:6" ht="12.75">
      <c r="B1132" s="226"/>
      <c r="C1132" s="227"/>
      <c r="D1132" s="226"/>
      <c r="E1132" s="227"/>
      <c r="F1132" s="227"/>
    </row>
    <row r="1133" spans="2:6" ht="12.75">
      <c r="B1133" s="226"/>
      <c r="C1133" s="227"/>
      <c r="D1133" s="226"/>
      <c r="E1133" s="227"/>
      <c r="F1133" s="227"/>
    </row>
    <row r="1134" spans="2:6" ht="12.75">
      <c r="B1134" s="226"/>
      <c r="C1134" s="227"/>
      <c r="D1134" s="226"/>
      <c r="E1134" s="227"/>
      <c r="F1134" s="227"/>
    </row>
    <row r="1135" spans="2:6" ht="12.75">
      <c r="B1135" s="226"/>
      <c r="C1135" s="227"/>
      <c r="D1135" s="226"/>
      <c r="E1135" s="227"/>
      <c r="F1135" s="227"/>
    </row>
    <row r="1136" spans="2:6" ht="12.75">
      <c r="B1136" s="226"/>
      <c r="C1136" s="227"/>
      <c r="D1136" s="226"/>
      <c r="E1136" s="227"/>
      <c r="F1136" s="227"/>
    </row>
    <row r="1137" spans="2:6" ht="12.75">
      <c r="B1137" s="226"/>
      <c r="C1137" s="227"/>
      <c r="D1137" s="226"/>
      <c r="E1137" s="227"/>
      <c r="F1137" s="227"/>
    </row>
    <row r="1138" spans="2:6" ht="12.75">
      <c r="B1138" s="226"/>
      <c r="C1138" s="227"/>
      <c r="D1138" s="226"/>
      <c r="E1138" s="227"/>
      <c r="F1138" s="227"/>
    </row>
    <row r="1139" spans="2:6" ht="12.75">
      <c r="B1139" s="226"/>
      <c r="C1139" s="227"/>
      <c r="D1139" s="226"/>
      <c r="E1139" s="227"/>
      <c r="F1139" s="227"/>
    </row>
    <row r="1140" spans="2:6" ht="12.75">
      <c r="B1140" s="226"/>
      <c r="C1140" s="227"/>
      <c r="D1140" s="226"/>
      <c r="E1140" s="227"/>
      <c r="F1140" s="227"/>
    </row>
    <row r="1141" spans="2:6" ht="12.75">
      <c r="B1141" s="226"/>
      <c r="C1141" s="227"/>
      <c r="D1141" s="226"/>
      <c r="E1141" s="227"/>
      <c r="F1141" s="227"/>
    </row>
    <row r="1142" spans="2:6" ht="12.75">
      <c r="B1142" s="226"/>
      <c r="C1142" s="227"/>
      <c r="D1142" s="226"/>
      <c r="E1142" s="227"/>
      <c r="F1142" s="227"/>
    </row>
    <row r="1143" spans="2:6" ht="12.75">
      <c r="B1143" s="226"/>
      <c r="C1143" s="227"/>
      <c r="D1143" s="226"/>
      <c r="E1143" s="227"/>
      <c r="F1143" s="227"/>
    </row>
    <row r="1144" spans="2:6" ht="12.75">
      <c r="B1144" s="226"/>
      <c r="C1144" s="227"/>
      <c r="D1144" s="226"/>
      <c r="E1144" s="227"/>
      <c r="F1144" s="227"/>
    </row>
    <row r="1145" spans="2:6" ht="12.75">
      <c r="B1145" s="226"/>
      <c r="C1145" s="227"/>
      <c r="D1145" s="226"/>
      <c r="E1145" s="227"/>
      <c r="F1145" s="227"/>
    </row>
    <row r="1146" spans="2:6" ht="12.75">
      <c r="B1146" s="226"/>
      <c r="C1146" s="227"/>
      <c r="D1146" s="226"/>
      <c r="E1146" s="227"/>
      <c r="F1146" s="227"/>
    </row>
    <row r="1147" spans="2:6" ht="12.75">
      <c r="B1147" s="226"/>
      <c r="C1147" s="227"/>
      <c r="D1147" s="226"/>
      <c r="E1147" s="227"/>
      <c r="F1147" s="227"/>
    </row>
    <row r="1148" spans="2:6" ht="12.75">
      <c r="B1148" s="226"/>
      <c r="C1148" s="227"/>
      <c r="D1148" s="226"/>
      <c r="E1148" s="227"/>
      <c r="F1148" s="227"/>
    </row>
    <row r="1149" spans="2:6" ht="12.75">
      <c r="B1149" s="226"/>
      <c r="C1149" s="227"/>
      <c r="D1149" s="226"/>
      <c r="E1149" s="227"/>
      <c r="F1149" s="227"/>
    </row>
    <row r="1150" spans="2:6" ht="12.75">
      <c r="B1150" s="226"/>
      <c r="C1150" s="227"/>
      <c r="D1150" s="226"/>
      <c r="E1150" s="227"/>
      <c r="F1150" s="227"/>
    </row>
    <row r="1151" spans="2:6" ht="12.75">
      <c r="B1151" s="226"/>
      <c r="C1151" s="227"/>
      <c r="D1151" s="226"/>
      <c r="E1151" s="227"/>
      <c r="F1151" s="227"/>
    </row>
    <row r="1152" spans="2:6" ht="12.75">
      <c r="B1152" s="226"/>
      <c r="C1152" s="227"/>
      <c r="D1152" s="226"/>
      <c r="E1152" s="227"/>
      <c r="F1152" s="227"/>
    </row>
    <row r="1153" spans="2:6" ht="12.75">
      <c r="B1153" s="226"/>
      <c r="C1153" s="227"/>
      <c r="D1153" s="226"/>
      <c r="E1153" s="227"/>
      <c r="F1153" s="227"/>
    </row>
    <row r="1154" spans="2:6" ht="12.75">
      <c r="B1154" s="226"/>
      <c r="C1154" s="227"/>
      <c r="D1154" s="226"/>
      <c r="E1154" s="227"/>
      <c r="F1154" s="227"/>
    </row>
    <row r="1155" spans="2:6" ht="12.75">
      <c r="B1155" s="226"/>
      <c r="C1155" s="227"/>
      <c r="D1155" s="226"/>
      <c r="E1155" s="227"/>
      <c r="F1155" s="227"/>
    </row>
    <row r="1156" spans="2:6" ht="12.75">
      <c r="B1156" s="226"/>
      <c r="C1156" s="227"/>
      <c r="D1156" s="226"/>
      <c r="E1156" s="227"/>
      <c r="F1156" s="227"/>
    </row>
    <row r="1157" spans="2:6" ht="12.75">
      <c r="B1157" s="226"/>
      <c r="C1157" s="227"/>
      <c r="D1157" s="226"/>
      <c r="E1157" s="227"/>
      <c r="F1157" s="227"/>
    </row>
    <row r="1158" spans="2:6" ht="12.75">
      <c r="B1158" s="226"/>
      <c r="C1158" s="227"/>
      <c r="D1158" s="226"/>
      <c r="E1158" s="227"/>
      <c r="F1158" s="227"/>
    </row>
    <row r="1159" spans="2:6" ht="12.75">
      <c r="B1159" s="226"/>
      <c r="C1159" s="227"/>
      <c r="D1159" s="226"/>
      <c r="E1159" s="227"/>
      <c r="F1159" s="227"/>
    </row>
    <row r="1160" spans="2:6" ht="12.75">
      <c r="B1160" s="226"/>
      <c r="C1160" s="227"/>
      <c r="D1160" s="226"/>
      <c r="E1160" s="227"/>
      <c r="F1160" s="227"/>
    </row>
    <row r="1161" spans="2:6" ht="12.75">
      <c r="B1161" s="226"/>
      <c r="C1161" s="227"/>
      <c r="D1161" s="226"/>
      <c r="E1161" s="227"/>
      <c r="F1161" s="227"/>
    </row>
    <row r="1162" spans="2:6" ht="12.75">
      <c r="B1162" s="226"/>
      <c r="C1162" s="227"/>
      <c r="D1162" s="226"/>
      <c r="E1162" s="227"/>
      <c r="F1162" s="227"/>
    </row>
    <row r="1163" spans="2:6" ht="12.75">
      <c r="B1163" s="226"/>
      <c r="C1163" s="227"/>
      <c r="D1163" s="226"/>
      <c r="E1163" s="227"/>
      <c r="F1163" s="227"/>
    </row>
    <row r="1164" spans="2:6" ht="12.75">
      <c r="B1164" s="226"/>
      <c r="C1164" s="227"/>
      <c r="D1164" s="226"/>
      <c r="E1164" s="227"/>
      <c r="F1164" s="227"/>
    </row>
    <row r="1165" spans="2:6" ht="12.75">
      <c r="B1165" s="226"/>
      <c r="C1165" s="227"/>
      <c r="D1165" s="226"/>
      <c r="E1165" s="227"/>
      <c r="F1165" s="227"/>
    </row>
    <row r="1166" spans="2:6" ht="12.75">
      <c r="B1166" s="226"/>
      <c r="C1166" s="227"/>
      <c r="D1166" s="226"/>
      <c r="E1166" s="227"/>
      <c r="F1166" s="227"/>
    </row>
    <row r="1167" spans="2:6" ht="12.75">
      <c r="B1167" s="226"/>
      <c r="C1167" s="227"/>
      <c r="D1167" s="226"/>
      <c r="E1167" s="227"/>
      <c r="F1167" s="227"/>
    </row>
    <row r="1168" spans="2:6" ht="12.75">
      <c r="B1168" s="226"/>
      <c r="C1168" s="227"/>
      <c r="D1168" s="226"/>
      <c r="E1168" s="227"/>
      <c r="F1168" s="227"/>
    </row>
    <row r="1169" spans="2:6" ht="12.75">
      <c r="B1169" s="226"/>
      <c r="C1169" s="227"/>
      <c r="D1169" s="226"/>
      <c r="E1169" s="227"/>
      <c r="F1169" s="227"/>
    </row>
    <row r="1170" spans="2:6" ht="12.75">
      <c r="B1170" s="226"/>
      <c r="C1170" s="227"/>
      <c r="D1170" s="226"/>
      <c r="E1170" s="227"/>
      <c r="F1170" s="227"/>
    </row>
    <row r="1171" spans="2:6" ht="12.75">
      <c r="B1171" s="226"/>
      <c r="C1171" s="227"/>
      <c r="D1171" s="226"/>
      <c r="E1171" s="227"/>
      <c r="F1171" s="227"/>
    </row>
    <row r="1172" spans="2:6" ht="12.75">
      <c r="B1172" s="226"/>
      <c r="C1172" s="227"/>
      <c r="D1172" s="226"/>
      <c r="E1172" s="227"/>
      <c r="F1172" s="227"/>
    </row>
    <row r="1173" spans="2:6" ht="12.75">
      <c r="B1173" s="226"/>
      <c r="C1173" s="227"/>
      <c r="D1173" s="226"/>
      <c r="E1173" s="227"/>
      <c r="F1173" s="227"/>
    </row>
    <row r="1174" spans="2:6" ht="12.75">
      <c r="B1174" s="226"/>
      <c r="C1174" s="227"/>
      <c r="D1174" s="226"/>
      <c r="E1174" s="227"/>
      <c r="F1174" s="227"/>
    </row>
    <row r="1175" spans="2:6" ht="12.75">
      <c r="B1175" s="226"/>
      <c r="C1175" s="227"/>
      <c r="D1175" s="226"/>
      <c r="E1175" s="227"/>
      <c r="F1175" s="227"/>
    </row>
    <row r="1176" spans="2:6" ht="12.75">
      <c r="B1176" s="226"/>
      <c r="C1176" s="227"/>
      <c r="D1176" s="226"/>
      <c r="E1176" s="227"/>
      <c r="F1176" s="227"/>
    </row>
    <row r="1177" spans="2:6" ht="12.75">
      <c r="B1177" s="226"/>
      <c r="C1177" s="227"/>
      <c r="D1177" s="226"/>
      <c r="E1177" s="227"/>
      <c r="F1177" s="227"/>
    </row>
    <row r="1178" spans="2:6" ht="12.75">
      <c r="B1178" s="226"/>
      <c r="C1178" s="227"/>
      <c r="D1178" s="226"/>
      <c r="E1178" s="227"/>
      <c r="F1178" s="227"/>
    </row>
    <row r="1179" spans="2:6" ht="12.75">
      <c r="B1179" s="226"/>
      <c r="C1179" s="227"/>
      <c r="D1179" s="226"/>
      <c r="E1179" s="227"/>
      <c r="F1179" s="227"/>
    </row>
    <row r="1180" spans="2:6" ht="12.75">
      <c r="B1180" s="226"/>
      <c r="C1180" s="227"/>
      <c r="D1180" s="226"/>
      <c r="E1180" s="227"/>
      <c r="F1180" s="227"/>
    </row>
    <row r="1181" spans="2:6" ht="12.75">
      <c r="B1181" s="226"/>
      <c r="C1181" s="227"/>
      <c r="D1181" s="226"/>
      <c r="E1181" s="227"/>
      <c r="F1181" s="227"/>
    </row>
    <row r="1182" spans="2:6" ht="12.75">
      <c r="B1182" s="226"/>
      <c r="C1182" s="227"/>
      <c r="D1182" s="226"/>
      <c r="E1182" s="227"/>
      <c r="F1182" s="227"/>
    </row>
    <row r="1183" spans="2:6" ht="12.75">
      <c r="B1183" s="226"/>
      <c r="C1183" s="227"/>
      <c r="D1183" s="226"/>
      <c r="E1183" s="227"/>
      <c r="F1183" s="227"/>
    </row>
    <row r="1184" spans="2:6" ht="12.75">
      <c r="B1184" s="226"/>
      <c r="C1184" s="227"/>
      <c r="D1184" s="226"/>
      <c r="E1184" s="227"/>
      <c r="F1184" s="227"/>
    </row>
    <row r="1185" spans="2:6" ht="12.75">
      <c r="B1185" s="226"/>
      <c r="C1185" s="227"/>
      <c r="D1185" s="226"/>
      <c r="E1185" s="227"/>
      <c r="F1185" s="227"/>
    </row>
    <row r="1186" spans="2:6" ht="12.75">
      <c r="B1186" s="226"/>
      <c r="C1186" s="227"/>
      <c r="D1186" s="226"/>
      <c r="E1186" s="227"/>
      <c r="F1186" s="227"/>
    </row>
    <row r="1187" spans="2:6" ht="12.75">
      <c r="B1187" s="226"/>
      <c r="C1187" s="227"/>
      <c r="D1187" s="226"/>
      <c r="E1187" s="227"/>
      <c r="F1187" s="227"/>
    </row>
    <row r="1188" spans="2:6" ht="12.75">
      <c r="B1188" s="226"/>
      <c r="C1188" s="227"/>
      <c r="D1188" s="226"/>
      <c r="E1188" s="227"/>
      <c r="F1188" s="227"/>
    </row>
    <row r="1189" spans="2:6" ht="12.75">
      <c r="B1189" s="226"/>
      <c r="C1189" s="227"/>
      <c r="D1189" s="226"/>
      <c r="E1189" s="227"/>
      <c r="F1189" s="227"/>
    </row>
    <row r="1190" spans="2:6" ht="12.75">
      <c r="B1190" s="226"/>
      <c r="C1190" s="227"/>
      <c r="D1190" s="226"/>
      <c r="E1190" s="227"/>
      <c r="F1190" s="227"/>
    </row>
    <row r="1191" spans="2:6" ht="12.75">
      <c r="B1191" s="226"/>
      <c r="C1191" s="227"/>
      <c r="D1191" s="226"/>
      <c r="E1191" s="227"/>
      <c r="F1191" s="227"/>
    </row>
    <row r="1192" spans="2:6" ht="12.75">
      <c r="B1192" s="226"/>
      <c r="C1192" s="227"/>
      <c r="D1192" s="226"/>
      <c r="E1192" s="227"/>
      <c r="F1192" s="227"/>
    </row>
    <row r="1193" spans="2:6" ht="12.75">
      <c r="B1193" s="226"/>
      <c r="C1193" s="227"/>
      <c r="D1193" s="226"/>
      <c r="E1193" s="227"/>
      <c r="F1193" s="227"/>
    </row>
    <row r="1194" spans="2:6" ht="12.75">
      <c r="B1194" s="226"/>
      <c r="C1194" s="227"/>
      <c r="D1194" s="226"/>
      <c r="E1194" s="227"/>
      <c r="F1194" s="227"/>
    </row>
    <row r="1195" spans="2:6" ht="12.75">
      <c r="B1195" s="226"/>
      <c r="C1195" s="227"/>
      <c r="D1195" s="226"/>
      <c r="E1195" s="227"/>
      <c r="F1195" s="227"/>
    </row>
    <row r="1196" spans="2:6" ht="12.75">
      <c r="B1196" s="226"/>
      <c r="C1196" s="227"/>
      <c r="D1196" s="226"/>
      <c r="E1196" s="227"/>
      <c r="F1196" s="227"/>
    </row>
    <row r="1197" spans="2:6" ht="12.75">
      <c r="B1197" s="226"/>
      <c r="C1197" s="227"/>
      <c r="D1197" s="226"/>
      <c r="E1197" s="227"/>
      <c r="F1197" s="227"/>
    </row>
    <row r="1198" spans="2:6" ht="12.75">
      <c r="B1198" s="226"/>
      <c r="C1198" s="227"/>
      <c r="D1198" s="226"/>
      <c r="E1198" s="227"/>
      <c r="F1198" s="227"/>
    </row>
    <row r="1199" spans="2:6" ht="12.75">
      <c r="B1199" s="226"/>
      <c r="C1199" s="227"/>
      <c r="D1199" s="226"/>
      <c r="E1199" s="227"/>
      <c r="F1199" s="227"/>
    </row>
    <row r="1200" spans="2:6" ht="12.75">
      <c r="B1200" s="226"/>
      <c r="C1200" s="227"/>
      <c r="D1200" s="226"/>
      <c r="E1200" s="227"/>
      <c r="F1200" s="227"/>
    </row>
    <row r="1201" spans="2:6" ht="12.75">
      <c r="B1201" s="226"/>
      <c r="C1201" s="227"/>
      <c r="D1201" s="226"/>
      <c r="E1201" s="227"/>
      <c r="F1201" s="227"/>
    </row>
    <row r="1202" spans="2:6" ht="12.75">
      <c r="B1202" s="226"/>
      <c r="C1202" s="227"/>
      <c r="D1202" s="226"/>
      <c r="E1202" s="227"/>
      <c r="F1202" s="227"/>
    </row>
    <row r="1203" spans="2:6" ht="12.75">
      <c r="B1203" s="226"/>
      <c r="C1203" s="227"/>
      <c r="D1203" s="226"/>
      <c r="E1203" s="227"/>
      <c r="F1203" s="227"/>
    </row>
    <row r="1204" spans="2:6" ht="12.75">
      <c r="B1204" s="226"/>
      <c r="C1204" s="227"/>
      <c r="D1204" s="226"/>
      <c r="E1204" s="227"/>
      <c r="F1204" s="227"/>
    </row>
    <row r="1205" spans="2:6" ht="12.75">
      <c r="B1205" s="226"/>
      <c r="C1205" s="227"/>
      <c r="D1205" s="226"/>
      <c r="E1205" s="227"/>
      <c r="F1205" s="227"/>
    </row>
    <row r="1206" spans="2:6" ht="12.75">
      <c r="B1206" s="226"/>
      <c r="C1206" s="227"/>
      <c r="D1206" s="226"/>
      <c r="E1206" s="227"/>
      <c r="F1206" s="227"/>
    </row>
    <row r="1207" spans="2:6" ht="12.75">
      <c r="B1207" s="226"/>
      <c r="C1207" s="227"/>
      <c r="D1207" s="226"/>
      <c r="E1207" s="227"/>
      <c r="F1207" s="227"/>
    </row>
    <row r="1208" spans="2:6" ht="12.75">
      <c r="B1208" s="226"/>
      <c r="C1208" s="227"/>
      <c r="D1208" s="226"/>
      <c r="E1208" s="227"/>
      <c r="F1208" s="227"/>
    </row>
    <row r="1209" spans="2:6" ht="12.75">
      <c r="B1209" s="226"/>
      <c r="C1209" s="227"/>
      <c r="D1209" s="226"/>
      <c r="E1209" s="227"/>
      <c r="F1209" s="227"/>
    </row>
    <row r="1210" spans="2:6" ht="12.75">
      <c r="B1210" s="226"/>
      <c r="C1210" s="227"/>
      <c r="D1210" s="226"/>
      <c r="E1210" s="227"/>
      <c r="F1210" s="227"/>
    </row>
    <row r="1211" spans="2:6" ht="12.75">
      <c r="B1211" s="226"/>
      <c r="C1211" s="227"/>
      <c r="D1211" s="226"/>
      <c r="E1211" s="227"/>
      <c r="F1211" s="227"/>
    </row>
    <row r="1212" spans="2:6" ht="12.75">
      <c r="B1212" s="226"/>
      <c r="C1212" s="227"/>
      <c r="D1212" s="226"/>
      <c r="E1212" s="227"/>
      <c r="F1212" s="227"/>
    </row>
    <row r="1213" spans="2:6" ht="12.75">
      <c r="B1213" s="226"/>
      <c r="C1213" s="227"/>
      <c r="D1213" s="226"/>
      <c r="E1213" s="227"/>
      <c r="F1213" s="227"/>
    </row>
    <row r="1214" spans="2:6" ht="12.75">
      <c r="B1214" s="226"/>
      <c r="C1214" s="227"/>
      <c r="D1214" s="226"/>
      <c r="E1214" s="227"/>
      <c r="F1214" s="227"/>
    </row>
    <row r="1215" spans="2:6" ht="12.75">
      <c r="B1215" s="226"/>
      <c r="C1215" s="227"/>
      <c r="D1215" s="226"/>
      <c r="E1215" s="227"/>
      <c r="F1215" s="227"/>
    </row>
    <row r="1216" spans="2:6" ht="12.75">
      <c r="B1216" s="226"/>
      <c r="C1216" s="227"/>
      <c r="D1216" s="226"/>
      <c r="E1216" s="227"/>
      <c r="F1216" s="227"/>
    </row>
    <row r="1217" spans="2:6" ht="12.75">
      <c r="B1217" s="226"/>
      <c r="C1217" s="227"/>
      <c r="D1217" s="226"/>
      <c r="E1217" s="227"/>
      <c r="F1217" s="227"/>
    </row>
    <row r="1218" spans="2:6" ht="12.75">
      <c r="B1218" s="226"/>
      <c r="C1218" s="227"/>
      <c r="D1218" s="226"/>
      <c r="E1218" s="227"/>
      <c r="F1218" s="227"/>
    </row>
    <row r="1219" spans="2:6" ht="12.75">
      <c r="B1219" s="226"/>
      <c r="C1219" s="227"/>
      <c r="D1219" s="226"/>
      <c r="E1219" s="227"/>
      <c r="F1219" s="227"/>
    </row>
    <row r="1220" spans="2:6" ht="12.75">
      <c r="B1220" s="226"/>
      <c r="C1220" s="227"/>
      <c r="D1220" s="226"/>
      <c r="E1220" s="227"/>
      <c r="F1220" s="227"/>
    </row>
    <row r="1221" spans="2:6" ht="12.75">
      <c r="B1221" s="226"/>
      <c r="C1221" s="227"/>
      <c r="D1221" s="226"/>
      <c r="E1221" s="227"/>
      <c r="F1221" s="227"/>
    </row>
    <row r="1222" spans="2:6" ht="12.75">
      <c r="B1222" s="226"/>
      <c r="C1222" s="227"/>
      <c r="D1222" s="226"/>
      <c r="E1222" s="227"/>
      <c r="F1222" s="227"/>
    </row>
    <row r="1223" spans="2:6" ht="12.75">
      <c r="B1223" s="226"/>
      <c r="C1223" s="227"/>
      <c r="D1223" s="226"/>
      <c r="E1223" s="227"/>
      <c r="F1223" s="227"/>
    </row>
    <row r="1224" spans="2:6" ht="12.75">
      <c r="B1224" s="226"/>
      <c r="C1224" s="227"/>
      <c r="D1224" s="226"/>
      <c r="E1224" s="227"/>
      <c r="F1224" s="227"/>
    </row>
    <row r="1225" spans="2:6" ht="12.75">
      <c r="B1225" s="226"/>
      <c r="C1225" s="227"/>
      <c r="D1225" s="226"/>
      <c r="E1225" s="227"/>
      <c r="F1225" s="227"/>
    </row>
    <row r="1226" spans="2:6" ht="12.75">
      <c r="B1226" s="226"/>
      <c r="C1226" s="227"/>
      <c r="D1226" s="226"/>
      <c r="E1226" s="227"/>
      <c r="F1226" s="227"/>
    </row>
    <row r="1227" spans="2:6" ht="12.75">
      <c r="B1227" s="226"/>
      <c r="C1227" s="227"/>
      <c r="D1227" s="226"/>
      <c r="E1227" s="227"/>
      <c r="F1227" s="227"/>
    </row>
    <row r="1228" spans="2:6" ht="12.75">
      <c r="B1228" s="226"/>
      <c r="C1228" s="227"/>
      <c r="D1228" s="226"/>
      <c r="E1228" s="227"/>
      <c r="F1228" s="227"/>
    </row>
    <row r="1229" spans="2:6" ht="12.75">
      <c r="B1229" s="226"/>
      <c r="C1229" s="227"/>
      <c r="D1229" s="226"/>
      <c r="E1229" s="227"/>
      <c r="F1229" s="227"/>
    </row>
    <row r="1230" spans="2:6" ht="12.75">
      <c r="B1230" s="226"/>
      <c r="C1230" s="227"/>
      <c r="D1230" s="226"/>
      <c r="E1230" s="227"/>
      <c r="F1230" s="227"/>
    </row>
    <row r="1231" spans="2:6" ht="12.75">
      <c r="B1231" s="226"/>
      <c r="C1231" s="227"/>
      <c r="D1231" s="226"/>
      <c r="E1231" s="227"/>
      <c r="F1231" s="227"/>
    </row>
    <row r="1232" spans="2:6" ht="12.75">
      <c r="B1232" s="226"/>
      <c r="C1232" s="227"/>
      <c r="D1232" s="226"/>
      <c r="E1232" s="227"/>
      <c r="F1232" s="227"/>
    </row>
    <row r="1233" spans="2:6" ht="12.75">
      <c r="B1233" s="226"/>
      <c r="C1233" s="227"/>
      <c r="D1233" s="226"/>
      <c r="E1233" s="227"/>
      <c r="F1233" s="227"/>
    </row>
    <row r="1234" spans="2:6" ht="12.75">
      <c r="B1234" s="226"/>
      <c r="C1234" s="227"/>
      <c r="D1234" s="226"/>
      <c r="E1234" s="227"/>
      <c r="F1234" s="227"/>
    </row>
    <row r="1235" spans="2:6" ht="12.75">
      <c r="B1235" s="226"/>
      <c r="C1235" s="227"/>
      <c r="D1235" s="226"/>
      <c r="E1235" s="227"/>
      <c r="F1235" s="227"/>
    </row>
    <row r="1236" spans="2:6" ht="12.75">
      <c r="B1236" s="226"/>
      <c r="C1236" s="227"/>
      <c r="D1236" s="226"/>
      <c r="E1236" s="227"/>
      <c r="F1236" s="227"/>
    </row>
    <row r="1237" spans="2:6" ht="12.75">
      <c r="B1237" s="226"/>
      <c r="C1237" s="227"/>
      <c r="D1237" s="226"/>
      <c r="E1237" s="227"/>
      <c r="F1237" s="227"/>
    </row>
    <row r="1238" spans="2:6" ht="12.75">
      <c r="B1238" s="226"/>
      <c r="C1238" s="227"/>
      <c r="D1238" s="226"/>
      <c r="E1238" s="227"/>
      <c r="F1238" s="227"/>
    </row>
    <row r="1239" spans="2:6" ht="12.75">
      <c r="B1239" s="226"/>
      <c r="C1239" s="227"/>
      <c r="D1239" s="226"/>
      <c r="E1239" s="227"/>
      <c r="F1239" s="227"/>
    </row>
    <row r="1240" spans="2:6" ht="12.75">
      <c r="B1240" s="226"/>
      <c r="C1240" s="227"/>
      <c r="D1240" s="226"/>
      <c r="E1240" s="227"/>
      <c r="F1240" s="227"/>
    </row>
    <row r="1241" spans="2:6" ht="12.75">
      <c r="B1241" s="226"/>
      <c r="C1241" s="227"/>
      <c r="D1241" s="226"/>
      <c r="E1241" s="227"/>
      <c r="F1241" s="227"/>
    </row>
    <row r="1242" spans="2:6" ht="12.75">
      <c r="B1242" s="226"/>
      <c r="C1242" s="227"/>
      <c r="D1242" s="226"/>
      <c r="E1242" s="227"/>
      <c r="F1242" s="227"/>
    </row>
    <row r="1243" spans="2:6" ht="12.75">
      <c r="B1243" s="226"/>
      <c r="C1243" s="227"/>
      <c r="D1243" s="226"/>
      <c r="E1243" s="227"/>
      <c r="F1243" s="227"/>
    </row>
    <row r="1244" spans="2:6" ht="12.75">
      <c r="B1244" s="226"/>
      <c r="C1244" s="227"/>
      <c r="D1244" s="226"/>
      <c r="E1244" s="227"/>
      <c r="F1244" s="227"/>
    </row>
    <row r="1245" spans="2:6" ht="12.75">
      <c r="B1245" s="226"/>
      <c r="C1245" s="227"/>
      <c r="D1245" s="226"/>
      <c r="E1245" s="227"/>
      <c r="F1245" s="227"/>
    </row>
    <row r="1246" spans="2:6" ht="12.75">
      <c r="B1246" s="226"/>
      <c r="C1246" s="227"/>
      <c r="D1246" s="226"/>
      <c r="E1246" s="227"/>
      <c r="F1246" s="227"/>
    </row>
    <row r="1247" spans="2:6" ht="12.75">
      <c r="B1247" s="226"/>
      <c r="C1247" s="227"/>
      <c r="D1247" s="226"/>
      <c r="E1247" s="227"/>
      <c r="F1247" s="227"/>
    </row>
    <row r="1248" spans="2:6" ht="12.75">
      <c r="B1248" s="226"/>
      <c r="C1248" s="227"/>
      <c r="D1248" s="226"/>
      <c r="E1248" s="227"/>
      <c r="F1248" s="227"/>
    </row>
    <row r="1249" spans="2:6" ht="12.75">
      <c r="B1249" s="226"/>
      <c r="C1249" s="227"/>
      <c r="D1249" s="226"/>
      <c r="E1249" s="227"/>
      <c r="F1249" s="227"/>
    </row>
    <row r="1250" spans="2:6" ht="12.75">
      <c r="B1250" s="226"/>
      <c r="C1250" s="227"/>
      <c r="D1250" s="226"/>
      <c r="E1250" s="227"/>
      <c r="F1250" s="227"/>
    </row>
    <row r="1251" spans="2:6" ht="12.75">
      <c r="B1251" s="226"/>
      <c r="C1251" s="227"/>
      <c r="D1251" s="226"/>
      <c r="E1251" s="227"/>
      <c r="F1251" s="227"/>
    </row>
    <row r="1252" spans="2:6" ht="12.75">
      <c r="B1252" s="226"/>
      <c r="C1252" s="227"/>
      <c r="D1252" s="226"/>
      <c r="E1252" s="227"/>
      <c r="F1252" s="227"/>
    </row>
    <row r="1253" spans="2:6" ht="12.75">
      <c r="B1253" s="226"/>
      <c r="C1253" s="227"/>
      <c r="D1253" s="226"/>
      <c r="E1253" s="227"/>
      <c r="F1253" s="227"/>
    </row>
    <row r="1254" spans="2:6" ht="12.75">
      <c r="B1254" s="226"/>
      <c r="C1254" s="227"/>
      <c r="D1254" s="226"/>
      <c r="E1254" s="227"/>
      <c r="F1254" s="227"/>
    </row>
    <row r="1255" spans="2:6" ht="12.75">
      <c r="B1255" s="226"/>
      <c r="C1255" s="227"/>
      <c r="D1255" s="226"/>
      <c r="E1255" s="227"/>
      <c r="F1255" s="227"/>
    </row>
    <row r="1256" spans="2:6" ht="12.75">
      <c r="B1256" s="226"/>
      <c r="C1256" s="227"/>
      <c r="D1256" s="226"/>
      <c r="E1256" s="227"/>
      <c r="F1256" s="227"/>
    </row>
    <row r="1257" spans="2:6" ht="12.75">
      <c r="B1257" s="226"/>
      <c r="C1257" s="227"/>
      <c r="D1257" s="226"/>
      <c r="E1257" s="227"/>
      <c r="F1257" s="227"/>
    </row>
    <row r="1258" spans="2:6" ht="12.75">
      <c r="B1258" s="226"/>
      <c r="C1258" s="227"/>
      <c r="D1258" s="226"/>
      <c r="E1258" s="227"/>
      <c r="F1258" s="227"/>
    </row>
    <row r="1259" spans="2:6" ht="12.75">
      <c r="B1259" s="226"/>
      <c r="C1259" s="227"/>
      <c r="D1259" s="226"/>
      <c r="E1259" s="227"/>
      <c r="F1259" s="227"/>
    </row>
    <row r="1260" spans="2:6" ht="12.75">
      <c r="B1260" s="226"/>
      <c r="C1260" s="227"/>
      <c r="D1260" s="226"/>
      <c r="E1260" s="227"/>
      <c r="F1260" s="227"/>
    </row>
    <row r="1261" spans="2:6" ht="12.75">
      <c r="B1261" s="226"/>
      <c r="C1261" s="227"/>
      <c r="D1261" s="226"/>
      <c r="E1261" s="227"/>
      <c r="F1261" s="227"/>
    </row>
    <row r="1262" spans="2:6" ht="12.75">
      <c r="B1262" s="226"/>
      <c r="C1262" s="227"/>
      <c r="D1262" s="226"/>
      <c r="E1262" s="227"/>
      <c r="F1262" s="227"/>
    </row>
    <row r="1263" spans="2:6" ht="12.75">
      <c r="B1263" s="226"/>
      <c r="C1263" s="227"/>
      <c r="D1263" s="226"/>
      <c r="E1263" s="227"/>
      <c r="F1263" s="227"/>
    </row>
    <row r="1264" spans="2:6" ht="12.75">
      <c r="B1264" s="226"/>
      <c r="C1264" s="227"/>
      <c r="D1264" s="226"/>
      <c r="E1264" s="227"/>
      <c r="F1264" s="227"/>
    </row>
    <row r="1265" spans="2:6" ht="12.75">
      <c r="B1265" s="226"/>
      <c r="C1265" s="227"/>
      <c r="D1265" s="226"/>
      <c r="E1265" s="227"/>
      <c r="F1265" s="227"/>
    </row>
    <row r="1266" spans="2:6" ht="12.75">
      <c r="B1266" s="226"/>
      <c r="C1266" s="227"/>
      <c r="D1266" s="226"/>
      <c r="E1266" s="227"/>
      <c r="F1266" s="227"/>
    </row>
    <row r="1267" spans="2:6" ht="12.75">
      <c r="B1267" s="226"/>
      <c r="C1267" s="227"/>
      <c r="D1267" s="226"/>
      <c r="E1267" s="227"/>
      <c r="F1267" s="227"/>
    </row>
    <row r="1268" spans="2:6" ht="12.75">
      <c r="B1268" s="226"/>
      <c r="C1268" s="227"/>
      <c r="D1268" s="226"/>
      <c r="E1268" s="227"/>
      <c r="F1268" s="227"/>
    </row>
    <row r="1269" spans="2:6" ht="12.75">
      <c r="B1269" s="226"/>
      <c r="C1269" s="227"/>
      <c r="D1269" s="226"/>
      <c r="E1269" s="227"/>
      <c r="F1269" s="227"/>
    </row>
    <row r="1270" spans="2:6" ht="12.75">
      <c r="B1270" s="226"/>
      <c r="C1270" s="227"/>
      <c r="D1270" s="226"/>
      <c r="E1270" s="227"/>
      <c r="F1270" s="227"/>
    </row>
    <row r="1271" spans="2:6" ht="12.75">
      <c r="B1271" s="226"/>
      <c r="C1271" s="227"/>
      <c r="D1271" s="226"/>
      <c r="E1271" s="227"/>
      <c r="F1271" s="227"/>
    </row>
    <row r="1272" spans="2:6" ht="12.75">
      <c r="B1272" s="226"/>
      <c r="C1272" s="227"/>
      <c r="D1272" s="226"/>
      <c r="E1272" s="227"/>
      <c r="F1272" s="227"/>
    </row>
    <row r="1273" spans="2:6" ht="12.75">
      <c r="B1273" s="226"/>
      <c r="C1273" s="227"/>
      <c r="D1273" s="226"/>
      <c r="E1273" s="227"/>
      <c r="F1273" s="227"/>
    </row>
    <row r="1274" spans="2:6" ht="12.75">
      <c r="B1274" s="226"/>
      <c r="C1274" s="227"/>
      <c r="D1274" s="226"/>
      <c r="E1274" s="227"/>
      <c r="F1274" s="227"/>
    </row>
    <row r="1275" spans="2:6" ht="12.75">
      <c r="B1275" s="226"/>
      <c r="C1275" s="227"/>
      <c r="D1275" s="226"/>
      <c r="E1275" s="227"/>
      <c r="F1275" s="227"/>
    </row>
    <row r="1276" spans="2:6" ht="12.75">
      <c r="B1276" s="226"/>
      <c r="C1276" s="227"/>
      <c r="D1276" s="226"/>
      <c r="E1276" s="227"/>
      <c r="F1276" s="227"/>
    </row>
    <row r="1277" spans="2:6" ht="12.75">
      <c r="B1277" s="226"/>
      <c r="C1277" s="227"/>
      <c r="D1277" s="226"/>
      <c r="E1277" s="227"/>
      <c r="F1277" s="227"/>
    </row>
    <row r="1278" spans="2:6" ht="12.75">
      <c r="B1278" s="226"/>
      <c r="C1278" s="227"/>
      <c r="D1278" s="226"/>
      <c r="E1278" s="227"/>
      <c r="F1278" s="227"/>
    </row>
    <row r="1279" spans="2:6" ht="12.75">
      <c r="B1279" s="226"/>
      <c r="C1279" s="227"/>
      <c r="D1279" s="226"/>
      <c r="E1279" s="227"/>
      <c r="F1279" s="227"/>
    </row>
    <row r="1280" spans="2:6" ht="12.75">
      <c r="B1280" s="226"/>
      <c r="C1280" s="227"/>
      <c r="D1280" s="226"/>
      <c r="E1280" s="227"/>
      <c r="F1280" s="227"/>
    </row>
    <row r="1281" spans="2:6" ht="12.75">
      <c r="B1281" s="226"/>
      <c r="C1281" s="227"/>
      <c r="D1281" s="226"/>
      <c r="E1281" s="227"/>
      <c r="F1281" s="227"/>
    </row>
    <row r="1282" spans="2:6" ht="12.75">
      <c r="B1282" s="226"/>
      <c r="C1282" s="227"/>
      <c r="D1282" s="226"/>
      <c r="E1282" s="227"/>
      <c r="F1282" s="227"/>
    </row>
    <row r="1283" spans="2:6" ht="12.75">
      <c r="B1283" s="226"/>
      <c r="C1283" s="227"/>
      <c r="D1283" s="226"/>
      <c r="E1283" s="227"/>
      <c r="F1283" s="227"/>
    </row>
    <row r="1284" spans="2:6" ht="12.75">
      <c r="B1284" s="226"/>
      <c r="C1284" s="227"/>
      <c r="D1284" s="226"/>
      <c r="E1284" s="227"/>
      <c r="F1284" s="227"/>
    </row>
    <row r="1285" spans="2:6" ht="12.75">
      <c r="B1285" s="226"/>
      <c r="C1285" s="227"/>
      <c r="D1285" s="226"/>
      <c r="E1285" s="227"/>
      <c r="F1285" s="227"/>
    </row>
    <row r="1286" spans="2:6" ht="12.75">
      <c r="B1286" s="226"/>
      <c r="C1286" s="227"/>
      <c r="D1286" s="226"/>
      <c r="E1286" s="227"/>
      <c r="F1286" s="227"/>
    </row>
    <row r="1287" spans="2:6" ht="12.75">
      <c r="B1287" s="226"/>
      <c r="C1287" s="227"/>
      <c r="D1287" s="226"/>
      <c r="E1287" s="227"/>
      <c r="F1287" s="227"/>
    </row>
    <row r="1288" spans="2:6" ht="12.75">
      <c r="B1288" s="226"/>
      <c r="C1288" s="227"/>
      <c r="D1288" s="226"/>
      <c r="E1288" s="227"/>
      <c r="F1288" s="227"/>
    </row>
    <row r="1289" spans="2:6" ht="12.75">
      <c r="B1289" s="226"/>
      <c r="C1289" s="227"/>
      <c r="D1289" s="226"/>
      <c r="E1289" s="227"/>
      <c r="F1289" s="227"/>
    </row>
    <row r="1290" spans="2:6" ht="12.75">
      <c r="B1290" s="226"/>
      <c r="C1290" s="227"/>
      <c r="D1290" s="226"/>
      <c r="E1290" s="227"/>
      <c r="F1290" s="227"/>
    </row>
    <row r="1291" spans="2:6" ht="12.75">
      <c r="B1291" s="226"/>
      <c r="C1291" s="227"/>
      <c r="D1291" s="226"/>
      <c r="E1291" s="227"/>
      <c r="F1291" s="227"/>
    </row>
    <row r="1292" spans="2:6" ht="12.75">
      <c r="B1292" s="226"/>
      <c r="C1292" s="227"/>
      <c r="D1292" s="226"/>
      <c r="E1292" s="227"/>
      <c r="F1292" s="227"/>
    </row>
    <row r="1293" spans="2:6" ht="12.75">
      <c r="B1293" s="226"/>
      <c r="C1293" s="227"/>
      <c r="D1293" s="226"/>
      <c r="E1293" s="227"/>
      <c r="F1293" s="227"/>
    </row>
    <row r="1294" spans="2:6" ht="12.75">
      <c r="B1294" s="226"/>
      <c r="C1294" s="227"/>
      <c r="D1294" s="226"/>
      <c r="E1294" s="227"/>
      <c r="F1294" s="227"/>
    </row>
    <row r="1295" spans="2:6" ht="12.75">
      <c r="B1295" s="226"/>
      <c r="C1295" s="227"/>
      <c r="D1295" s="226"/>
      <c r="E1295" s="227"/>
      <c r="F1295" s="227"/>
    </row>
    <row r="1296" spans="2:6" ht="12.75">
      <c r="B1296" s="226"/>
      <c r="C1296" s="227"/>
      <c r="D1296" s="226"/>
      <c r="E1296" s="227"/>
      <c r="F1296" s="227"/>
    </row>
    <row r="1297" spans="2:6" ht="12.75">
      <c r="B1297" s="226"/>
      <c r="C1297" s="227"/>
      <c r="D1297" s="226"/>
      <c r="E1297" s="227"/>
      <c r="F1297" s="227"/>
    </row>
    <row r="1298" spans="2:6" ht="12.75">
      <c r="B1298" s="226"/>
      <c r="C1298" s="227"/>
      <c r="D1298" s="226"/>
      <c r="E1298" s="227"/>
      <c r="F1298" s="227"/>
    </row>
    <row r="1299" spans="2:6" ht="12.75">
      <c r="B1299" s="226"/>
      <c r="C1299" s="227"/>
      <c r="D1299" s="226"/>
      <c r="E1299" s="227"/>
      <c r="F1299" s="227"/>
    </row>
    <row r="1300" spans="2:6" ht="12.75">
      <c r="B1300" s="226"/>
      <c r="C1300" s="227"/>
      <c r="D1300" s="226"/>
      <c r="E1300" s="227"/>
      <c r="F1300" s="227"/>
    </row>
    <row r="1301" spans="2:6" ht="12.75">
      <c r="B1301" s="226"/>
      <c r="C1301" s="227"/>
      <c r="D1301" s="226"/>
      <c r="E1301" s="227"/>
      <c r="F1301" s="227"/>
    </row>
    <row r="1302" spans="2:6" ht="12.75">
      <c r="B1302" s="226"/>
      <c r="C1302" s="227"/>
      <c r="D1302" s="226"/>
      <c r="E1302" s="227"/>
      <c r="F1302" s="227"/>
    </row>
    <row r="1303" spans="2:6" ht="12.75">
      <c r="B1303" s="226"/>
      <c r="C1303" s="227"/>
      <c r="D1303" s="226"/>
      <c r="E1303" s="227"/>
      <c r="F1303" s="227"/>
    </row>
    <row r="1304" spans="2:6" ht="12.75">
      <c r="B1304" s="226"/>
      <c r="C1304" s="227"/>
      <c r="D1304" s="226"/>
      <c r="E1304" s="227"/>
      <c r="F1304" s="227"/>
    </row>
    <row r="1305" spans="2:6" ht="12.75">
      <c r="B1305" s="226"/>
      <c r="C1305" s="227"/>
      <c r="D1305" s="226"/>
      <c r="E1305" s="227"/>
      <c r="F1305" s="227"/>
    </row>
    <row r="1306" spans="2:6" ht="12.75">
      <c r="B1306" s="226"/>
      <c r="C1306" s="227"/>
      <c r="D1306" s="226"/>
      <c r="E1306" s="227"/>
      <c r="F1306" s="227"/>
    </row>
    <row r="1307" spans="2:6" ht="12.75">
      <c r="B1307" s="226"/>
      <c r="C1307" s="227"/>
      <c r="D1307" s="226"/>
      <c r="E1307" s="227"/>
      <c r="F1307" s="227"/>
    </row>
    <row r="1308" spans="2:6" ht="12.75">
      <c r="B1308" s="226"/>
      <c r="C1308" s="227"/>
      <c r="D1308" s="226"/>
      <c r="E1308" s="227"/>
      <c r="F1308" s="227"/>
    </row>
    <row r="1309" spans="2:6" ht="12.75">
      <c r="B1309" s="226"/>
      <c r="C1309" s="227"/>
      <c r="D1309" s="226"/>
      <c r="E1309" s="227"/>
      <c r="F1309" s="227"/>
    </row>
    <row r="1310" spans="2:6" ht="12.75">
      <c r="B1310" s="226"/>
      <c r="C1310" s="227"/>
      <c r="D1310" s="226"/>
      <c r="E1310" s="227"/>
      <c r="F1310" s="227"/>
    </row>
    <row r="1311" spans="2:6" ht="12.75">
      <c r="B1311" s="226"/>
      <c r="C1311" s="227"/>
      <c r="D1311" s="226"/>
      <c r="E1311" s="227"/>
      <c r="F1311" s="227"/>
    </row>
    <row r="1312" spans="2:6" ht="12.75">
      <c r="B1312" s="226"/>
      <c r="C1312" s="227"/>
      <c r="D1312" s="226"/>
      <c r="E1312" s="227"/>
      <c r="F1312" s="227"/>
    </row>
    <row r="1313" spans="2:6" ht="12.75">
      <c r="B1313" s="226"/>
      <c r="C1313" s="227"/>
      <c r="D1313" s="226"/>
      <c r="E1313" s="227"/>
      <c r="F1313" s="227"/>
    </row>
    <row r="1314" spans="2:6" ht="12.75">
      <c r="B1314" s="226"/>
      <c r="C1314" s="227"/>
      <c r="D1314" s="226"/>
      <c r="E1314" s="227"/>
      <c r="F1314" s="227"/>
    </row>
    <row r="1315" spans="2:6" ht="12.75">
      <c r="B1315" s="226"/>
      <c r="C1315" s="227"/>
      <c r="D1315" s="226"/>
      <c r="E1315" s="227"/>
      <c r="F1315" s="227"/>
    </row>
    <row r="1316" spans="2:6" ht="12.75">
      <c r="B1316" s="226"/>
      <c r="C1316" s="227"/>
      <c r="D1316" s="226"/>
      <c r="E1316" s="227"/>
      <c r="F1316" s="227"/>
    </row>
    <row r="1317" spans="2:6" ht="12.75">
      <c r="B1317" s="226"/>
      <c r="C1317" s="227"/>
      <c r="D1317" s="226"/>
      <c r="E1317" s="227"/>
      <c r="F1317" s="227"/>
    </row>
    <row r="1318" spans="2:6" ht="12.75">
      <c r="B1318" s="226"/>
      <c r="C1318" s="227"/>
      <c r="D1318" s="226"/>
      <c r="E1318" s="227"/>
      <c r="F1318" s="227"/>
    </row>
    <row r="1319" spans="2:6" ht="12.75">
      <c r="B1319" s="226"/>
      <c r="C1319" s="227"/>
      <c r="D1319" s="226"/>
      <c r="E1319" s="227"/>
      <c r="F1319" s="227"/>
    </row>
    <row r="1320" spans="2:6" ht="12.75">
      <c r="B1320" s="226"/>
      <c r="C1320" s="227"/>
      <c r="D1320" s="226"/>
      <c r="E1320" s="227"/>
      <c r="F1320" s="227"/>
    </row>
    <row r="1321" spans="2:6" ht="12.75">
      <c r="B1321" s="226"/>
      <c r="C1321" s="227"/>
      <c r="D1321" s="226"/>
      <c r="E1321" s="227"/>
      <c r="F1321" s="227"/>
    </row>
    <row r="1322" spans="2:6" ht="12.75">
      <c r="B1322" s="226"/>
      <c r="C1322" s="227"/>
      <c r="D1322" s="226"/>
      <c r="E1322" s="227"/>
      <c r="F1322" s="227"/>
    </row>
    <row r="1323" spans="2:6" ht="12.75">
      <c r="B1323" s="226"/>
      <c r="C1323" s="227"/>
      <c r="D1323" s="226"/>
      <c r="E1323" s="227"/>
      <c r="F1323" s="227"/>
    </row>
    <row r="1324" spans="2:6" ht="12.75">
      <c r="B1324" s="226"/>
      <c r="C1324" s="227"/>
      <c r="D1324" s="226"/>
      <c r="E1324" s="227"/>
      <c r="F1324" s="227"/>
    </row>
    <row r="1325" spans="2:6" ht="12.75">
      <c r="B1325" s="226"/>
      <c r="C1325" s="227"/>
      <c r="D1325" s="226"/>
      <c r="E1325" s="227"/>
      <c r="F1325" s="227"/>
    </row>
    <row r="1326" spans="2:6" ht="12.75">
      <c r="B1326" s="226"/>
      <c r="C1326" s="227"/>
      <c r="D1326" s="226"/>
      <c r="E1326" s="227"/>
      <c r="F1326" s="227"/>
    </row>
    <row r="1327" spans="2:6" ht="12.75">
      <c r="B1327" s="226"/>
      <c r="C1327" s="227"/>
      <c r="D1327" s="226"/>
      <c r="E1327" s="227"/>
      <c r="F1327" s="227"/>
    </row>
    <row r="1328" spans="2:6" ht="12.75">
      <c r="B1328" s="226"/>
      <c r="C1328" s="227"/>
      <c r="D1328" s="226"/>
      <c r="E1328" s="227"/>
      <c r="F1328" s="227"/>
    </row>
    <row r="1329" spans="2:6" ht="12.75">
      <c r="B1329" s="226"/>
      <c r="C1329" s="227"/>
      <c r="D1329" s="226"/>
      <c r="E1329" s="227"/>
      <c r="F1329" s="227"/>
    </row>
    <row r="1330" spans="2:6" ht="12.75">
      <c r="B1330" s="226"/>
      <c r="C1330" s="227"/>
      <c r="D1330" s="226"/>
      <c r="E1330" s="227"/>
      <c r="F1330" s="227"/>
    </row>
    <row r="1331" spans="2:6" ht="12.75">
      <c r="B1331" s="226"/>
      <c r="C1331" s="227"/>
      <c r="D1331" s="226"/>
      <c r="E1331" s="227"/>
      <c r="F1331" s="227"/>
    </row>
    <row r="1332" spans="2:6" ht="12.75">
      <c r="B1332" s="226"/>
      <c r="C1332" s="227"/>
      <c r="D1332" s="226"/>
      <c r="E1332" s="227"/>
      <c r="F1332" s="227"/>
    </row>
    <row r="1333" spans="2:6" ht="12.75">
      <c r="B1333" s="226"/>
      <c r="C1333" s="227"/>
      <c r="D1333" s="226"/>
      <c r="E1333" s="227"/>
      <c r="F1333" s="227"/>
    </row>
    <row r="1334" spans="2:6" ht="12.75">
      <c r="B1334" s="226"/>
      <c r="C1334" s="227"/>
      <c r="D1334" s="226"/>
      <c r="E1334" s="227"/>
      <c r="F1334" s="227"/>
    </row>
    <row r="1335" spans="2:6" ht="12.75">
      <c r="B1335" s="226"/>
      <c r="C1335" s="227"/>
      <c r="D1335" s="226"/>
      <c r="E1335" s="227"/>
      <c r="F1335" s="227"/>
    </row>
    <row r="1336" spans="2:6" ht="12.75">
      <c r="B1336" s="226"/>
      <c r="C1336" s="227"/>
      <c r="D1336" s="226"/>
      <c r="E1336" s="227"/>
      <c r="F1336" s="227"/>
    </row>
    <row r="1337" spans="2:6" ht="12.75">
      <c r="B1337" s="226"/>
      <c r="C1337" s="227"/>
      <c r="D1337" s="226"/>
      <c r="E1337" s="227"/>
      <c r="F1337" s="227"/>
    </row>
    <row r="1338" spans="2:6" ht="12.75">
      <c r="B1338" s="226"/>
      <c r="C1338" s="227"/>
      <c r="D1338" s="226"/>
      <c r="E1338" s="227"/>
      <c r="F1338" s="227"/>
    </row>
    <row r="1339" spans="2:6" ht="12.75">
      <c r="B1339" s="226"/>
      <c r="C1339" s="227"/>
      <c r="D1339" s="226"/>
      <c r="E1339" s="227"/>
      <c r="F1339" s="227"/>
    </row>
    <row r="1340" spans="2:6" ht="12.75">
      <c r="B1340" s="226"/>
      <c r="C1340" s="227"/>
      <c r="D1340" s="226"/>
      <c r="E1340" s="227"/>
      <c r="F1340" s="227"/>
    </row>
    <row r="1341" spans="2:6" ht="12.75">
      <c r="B1341" s="226"/>
      <c r="C1341" s="227"/>
      <c r="D1341" s="226"/>
      <c r="E1341" s="227"/>
      <c r="F1341" s="227"/>
    </row>
    <row r="1342" spans="2:6" ht="12.75">
      <c r="B1342" s="226"/>
      <c r="C1342" s="227"/>
      <c r="D1342" s="226"/>
      <c r="E1342" s="227"/>
      <c r="F1342" s="227"/>
    </row>
    <row r="1343" spans="2:6" ht="12.75">
      <c r="B1343" s="226"/>
      <c r="C1343" s="227"/>
      <c r="D1343" s="226"/>
      <c r="E1343" s="227"/>
      <c r="F1343" s="227"/>
    </row>
    <row r="1344" spans="2:6" ht="12.75">
      <c r="B1344" s="226"/>
      <c r="C1344" s="227"/>
      <c r="D1344" s="226"/>
      <c r="E1344" s="227"/>
      <c r="F1344" s="227"/>
    </row>
    <row r="1345" spans="2:6" ht="12.75">
      <c r="B1345" s="226"/>
      <c r="C1345" s="227"/>
      <c r="D1345" s="226"/>
      <c r="E1345" s="227"/>
      <c r="F1345" s="227"/>
    </row>
    <row r="1346" spans="2:6" ht="12.75">
      <c r="B1346" s="226"/>
      <c r="C1346" s="227"/>
      <c r="D1346" s="226"/>
      <c r="E1346" s="227"/>
      <c r="F1346" s="227"/>
    </row>
    <row r="1347" spans="2:6" ht="12.75">
      <c r="B1347" s="226"/>
      <c r="C1347" s="227"/>
      <c r="D1347" s="226"/>
      <c r="E1347" s="227"/>
      <c r="F1347" s="227"/>
    </row>
    <row r="1348" spans="2:6" ht="12.75">
      <c r="B1348" s="226"/>
      <c r="C1348" s="227"/>
      <c r="D1348" s="226"/>
      <c r="E1348" s="227"/>
      <c r="F1348" s="227"/>
    </row>
    <row r="1349" spans="2:6" ht="12.75">
      <c r="B1349" s="226"/>
      <c r="C1349" s="227"/>
      <c r="D1349" s="226"/>
      <c r="E1349" s="227"/>
      <c r="F1349" s="227"/>
    </row>
    <row r="1350" spans="2:6" ht="12.75">
      <c r="B1350" s="226"/>
      <c r="C1350" s="227"/>
      <c r="D1350" s="226"/>
      <c r="E1350" s="227"/>
      <c r="F1350" s="227"/>
    </row>
    <row r="1351" spans="2:6" ht="12.75">
      <c r="B1351" s="226"/>
      <c r="C1351" s="227"/>
      <c r="D1351" s="226"/>
      <c r="E1351" s="227"/>
      <c r="F1351" s="227"/>
    </row>
    <row r="1352" spans="2:6" ht="12.75">
      <c r="B1352" s="226"/>
      <c r="C1352" s="227"/>
      <c r="D1352" s="226"/>
      <c r="E1352" s="227"/>
      <c r="F1352" s="227"/>
    </row>
    <row r="1353" spans="2:6" ht="12.75">
      <c r="B1353" s="226"/>
      <c r="C1353" s="227"/>
      <c r="D1353" s="226"/>
      <c r="E1353" s="227"/>
      <c r="F1353" s="227"/>
    </row>
    <row r="1354" spans="2:6" ht="12.75">
      <c r="B1354" s="226"/>
      <c r="C1354" s="227"/>
      <c r="D1354" s="226"/>
      <c r="E1354" s="227"/>
      <c r="F1354" s="227"/>
    </row>
    <row r="1355" spans="2:6" ht="12.75">
      <c r="B1355" s="226"/>
      <c r="C1355" s="227"/>
      <c r="D1355" s="226"/>
      <c r="E1355" s="227"/>
      <c r="F1355" s="227"/>
    </row>
    <row r="1356" spans="2:6" ht="12.75">
      <c r="B1356" s="226"/>
      <c r="C1356" s="227"/>
      <c r="D1356" s="226"/>
      <c r="E1356" s="227"/>
      <c r="F1356" s="227"/>
    </row>
    <row r="1357" spans="2:6" ht="12.75">
      <c r="B1357" s="226"/>
      <c r="C1357" s="227"/>
      <c r="D1357" s="226"/>
      <c r="E1357" s="227"/>
      <c r="F1357" s="227"/>
    </row>
    <row r="1358" spans="2:6" ht="12.75">
      <c r="B1358" s="226"/>
      <c r="C1358" s="227"/>
      <c r="D1358" s="226"/>
      <c r="E1358" s="227"/>
      <c r="F1358" s="227"/>
    </row>
    <row r="1359" spans="2:6" ht="12.75">
      <c r="B1359" s="226"/>
      <c r="C1359" s="227"/>
      <c r="D1359" s="226"/>
      <c r="E1359" s="227"/>
      <c r="F1359" s="227"/>
    </row>
    <row r="1360" spans="2:6" ht="12.75">
      <c r="B1360" s="226"/>
      <c r="C1360" s="227"/>
      <c r="D1360" s="226"/>
      <c r="E1360" s="227"/>
      <c r="F1360" s="227"/>
    </row>
    <row r="1361" spans="2:6" ht="12.75">
      <c r="B1361" s="226"/>
      <c r="C1361" s="227"/>
      <c r="D1361" s="226"/>
      <c r="E1361" s="227"/>
      <c r="F1361" s="227"/>
    </row>
    <row r="1362" spans="2:6" ht="12.75">
      <c r="B1362" s="226"/>
      <c r="C1362" s="227"/>
      <c r="D1362" s="226"/>
      <c r="E1362" s="227"/>
      <c r="F1362" s="227"/>
    </row>
    <row r="1363" spans="2:6" ht="12.75">
      <c r="B1363" s="226"/>
      <c r="C1363" s="227"/>
      <c r="D1363" s="226"/>
      <c r="E1363" s="227"/>
      <c r="F1363" s="227"/>
    </row>
    <row r="1364" spans="2:6" ht="12.75">
      <c r="B1364" s="226"/>
      <c r="C1364" s="227"/>
      <c r="D1364" s="226"/>
      <c r="E1364" s="227"/>
      <c r="F1364" s="227"/>
    </row>
    <row r="1365" spans="2:6" ht="12.75">
      <c r="B1365" s="226"/>
      <c r="C1365" s="227"/>
      <c r="D1365" s="226"/>
      <c r="E1365" s="227"/>
      <c r="F1365" s="227"/>
    </row>
    <row r="1366" spans="2:6" ht="12.75">
      <c r="B1366" s="226"/>
      <c r="C1366" s="227"/>
      <c r="D1366" s="226"/>
      <c r="E1366" s="227"/>
      <c r="F1366" s="227"/>
    </row>
    <row r="1367" spans="2:6" ht="12.75">
      <c r="B1367" s="226"/>
      <c r="C1367" s="227"/>
      <c r="D1367" s="226"/>
      <c r="E1367" s="227"/>
      <c r="F1367" s="227"/>
    </row>
    <row r="1368" spans="2:6" ht="12.75">
      <c r="B1368" s="226"/>
      <c r="C1368" s="227"/>
      <c r="D1368" s="226"/>
      <c r="E1368" s="227"/>
      <c r="F1368" s="227"/>
    </row>
    <row r="1369" spans="2:6" ht="12.75">
      <c r="B1369" s="226"/>
      <c r="C1369" s="227"/>
      <c r="D1369" s="226"/>
      <c r="E1369" s="227"/>
      <c r="F1369" s="227"/>
    </row>
    <row r="1370" spans="2:6" ht="12.75">
      <c r="B1370" s="226"/>
      <c r="C1370" s="227"/>
      <c r="D1370" s="226"/>
      <c r="E1370" s="227"/>
      <c r="F1370" s="227"/>
    </row>
    <row r="1371" spans="2:6" ht="12.75">
      <c r="B1371" s="226"/>
      <c r="C1371" s="227"/>
      <c r="D1371" s="226"/>
      <c r="E1371" s="227"/>
      <c r="F1371" s="227"/>
    </row>
    <row r="1372" spans="2:6" ht="12.75">
      <c r="B1372" s="226"/>
      <c r="C1372" s="227"/>
      <c r="D1372" s="226"/>
      <c r="E1372" s="227"/>
      <c r="F1372" s="227"/>
    </row>
    <row r="1373" spans="2:6" ht="12.75">
      <c r="B1373" s="226"/>
      <c r="C1373" s="227"/>
      <c r="D1373" s="226"/>
      <c r="E1373" s="227"/>
      <c r="F1373" s="227"/>
    </row>
    <row r="1374" spans="2:6" ht="12.75">
      <c r="B1374" s="226"/>
      <c r="C1374" s="227"/>
      <c r="D1374" s="226"/>
      <c r="E1374" s="227"/>
      <c r="F1374" s="227"/>
    </row>
    <row r="1375" spans="2:6" ht="12.75">
      <c r="B1375" s="226"/>
      <c r="C1375" s="227"/>
      <c r="D1375" s="226"/>
      <c r="E1375" s="227"/>
      <c r="F1375" s="227"/>
    </row>
    <row r="1376" spans="2:6" ht="12.75">
      <c r="B1376" s="226"/>
      <c r="C1376" s="227"/>
      <c r="D1376" s="226"/>
      <c r="E1376" s="227"/>
      <c r="F1376" s="227"/>
    </row>
    <row r="1377" spans="2:6" ht="12.75">
      <c r="B1377" s="226"/>
      <c r="C1377" s="227"/>
      <c r="D1377" s="226"/>
      <c r="E1377" s="227"/>
      <c r="F1377" s="227"/>
    </row>
    <row r="1378" spans="2:6" ht="12.75">
      <c r="B1378" s="226"/>
      <c r="C1378" s="227"/>
      <c r="D1378" s="226"/>
      <c r="E1378" s="227"/>
      <c r="F1378" s="227"/>
    </row>
    <row r="1379" spans="2:6" ht="12.75">
      <c r="B1379" s="226"/>
      <c r="C1379" s="227"/>
      <c r="D1379" s="226"/>
      <c r="E1379" s="227"/>
      <c r="F1379" s="227"/>
    </row>
    <row r="1380" spans="2:6" ht="12.75">
      <c r="B1380" s="226"/>
      <c r="C1380" s="227"/>
      <c r="D1380" s="226"/>
      <c r="E1380" s="227"/>
      <c r="F1380" s="227"/>
    </row>
    <row r="1381" spans="2:6" ht="12.75">
      <c r="B1381" s="226"/>
      <c r="C1381" s="227"/>
      <c r="D1381" s="226"/>
      <c r="E1381" s="227"/>
      <c r="F1381" s="227"/>
    </row>
    <row r="1382" spans="2:6" ht="12.75">
      <c r="B1382" s="226"/>
      <c r="C1382" s="227"/>
      <c r="D1382" s="226"/>
      <c r="E1382" s="227"/>
      <c r="F1382" s="227"/>
    </row>
    <row r="1383" spans="2:6" ht="12.75">
      <c r="B1383" s="226"/>
      <c r="C1383" s="227"/>
      <c r="D1383" s="226"/>
      <c r="E1383" s="227"/>
      <c r="F1383" s="227"/>
    </row>
    <row r="1384" spans="2:6" ht="12.75">
      <c r="B1384" s="226"/>
      <c r="C1384" s="227"/>
      <c r="D1384" s="226"/>
      <c r="E1384" s="227"/>
      <c r="F1384" s="227"/>
    </row>
    <row r="1385" spans="2:6" ht="12.75">
      <c r="B1385" s="226"/>
      <c r="C1385" s="227"/>
      <c r="D1385" s="226"/>
      <c r="E1385" s="227"/>
      <c r="F1385" s="227"/>
    </row>
    <row r="1386" spans="2:6" ht="12.75">
      <c r="B1386" s="226"/>
      <c r="C1386" s="227"/>
      <c r="D1386" s="226"/>
      <c r="E1386" s="227"/>
      <c r="F1386" s="227"/>
    </row>
    <row r="1387" spans="2:6" ht="12.75">
      <c r="B1387" s="226"/>
      <c r="C1387" s="227"/>
      <c r="D1387" s="226"/>
      <c r="E1387" s="227"/>
      <c r="F1387" s="227"/>
    </row>
    <row r="1388" spans="2:6" ht="12.75">
      <c r="B1388" s="226"/>
      <c r="C1388" s="227"/>
      <c r="D1388" s="226"/>
      <c r="E1388" s="227"/>
      <c r="F1388" s="227"/>
    </row>
    <row r="1389" spans="2:6" ht="12.75">
      <c r="B1389" s="226"/>
      <c r="C1389" s="227"/>
      <c r="D1389" s="226"/>
      <c r="E1389" s="227"/>
      <c r="F1389" s="227"/>
    </row>
    <row r="1390" spans="2:6" ht="12.75">
      <c r="B1390" s="226"/>
      <c r="C1390" s="227"/>
      <c r="D1390" s="226"/>
      <c r="E1390" s="227"/>
      <c r="F1390" s="227"/>
    </row>
    <row r="1391" spans="2:6" ht="12.75">
      <c r="B1391" s="226"/>
      <c r="C1391" s="227"/>
      <c r="D1391" s="226"/>
      <c r="E1391" s="227"/>
      <c r="F1391" s="227"/>
    </row>
    <row r="1392" spans="2:6" ht="12.75">
      <c r="B1392" s="226"/>
      <c r="C1392" s="227"/>
      <c r="D1392" s="226"/>
      <c r="E1392" s="227"/>
      <c r="F1392" s="227"/>
    </row>
    <row r="1393" spans="2:6" ht="12.75">
      <c r="B1393" s="226"/>
      <c r="C1393" s="227"/>
      <c r="D1393" s="226"/>
      <c r="E1393" s="227"/>
      <c r="F1393" s="227"/>
    </row>
    <row r="1394" spans="2:6" ht="12.75">
      <c r="B1394" s="226"/>
      <c r="C1394" s="227"/>
      <c r="D1394" s="226"/>
      <c r="E1394" s="227"/>
      <c r="F1394" s="227"/>
    </row>
    <row r="1395" spans="2:6" ht="12.75">
      <c r="B1395" s="226"/>
      <c r="C1395" s="227"/>
      <c r="D1395" s="226"/>
      <c r="E1395" s="227"/>
      <c r="F1395" s="227"/>
    </row>
    <row r="1396" spans="2:6" ht="12.75">
      <c r="B1396" s="226"/>
      <c r="C1396" s="227"/>
      <c r="D1396" s="226"/>
      <c r="E1396" s="227"/>
      <c r="F1396" s="227"/>
    </row>
    <row r="1397" spans="2:6" ht="12.75">
      <c r="B1397" s="226"/>
      <c r="C1397" s="227"/>
      <c r="D1397" s="226"/>
      <c r="E1397" s="227"/>
      <c r="F1397" s="227"/>
    </row>
    <row r="1398" spans="2:6" ht="12.75">
      <c r="B1398" s="226"/>
      <c r="C1398" s="227"/>
      <c r="D1398" s="226"/>
      <c r="E1398" s="227"/>
      <c r="F1398" s="227"/>
    </row>
    <row r="1399" spans="2:6" ht="12.75">
      <c r="B1399" s="226"/>
      <c r="C1399" s="227"/>
      <c r="D1399" s="226"/>
      <c r="E1399" s="227"/>
      <c r="F1399" s="227"/>
    </row>
    <row r="1400" spans="2:6" ht="12.75">
      <c r="B1400" s="226"/>
      <c r="C1400" s="227"/>
      <c r="D1400" s="226"/>
      <c r="E1400" s="227"/>
      <c r="F1400" s="227"/>
    </row>
    <row r="1401" spans="2:6" ht="12.75">
      <c r="B1401" s="226"/>
      <c r="C1401" s="227"/>
      <c r="D1401" s="226"/>
      <c r="E1401" s="227"/>
      <c r="F1401" s="227"/>
    </row>
    <row r="1402" spans="2:6" ht="12.75">
      <c r="B1402" s="226"/>
      <c r="C1402" s="227"/>
      <c r="D1402" s="226"/>
      <c r="E1402" s="227"/>
      <c r="F1402" s="227"/>
    </row>
    <row r="1403" spans="2:6" ht="12.75">
      <c r="B1403" s="226"/>
      <c r="C1403" s="227"/>
      <c r="D1403" s="226"/>
      <c r="E1403" s="227"/>
      <c r="F1403" s="227"/>
    </row>
    <row r="1404" spans="2:6" ht="12.75">
      <c r="B1404" s="226"/>
      <c r="C1404" s="227"/>
      <c r="D1404" s="226"/>
      <c r="E1404" s="227"/>
      <c r="F1404" s="227"/>
    </row>
    <row r="1405" spans="2:6" ht="12.75">
      <c r="B1405" s="226"/>
      <c r="C1405" s="227"/>
      <c r="D1405" s="226"/>
      <c r="E1405" s="227"/>
      <c r="F1405" s="227"/>
    </row>
    <row r="1406" spans="2:6" ht="12.75">
      <c r="B1406" s="226"/>
      <c r="C1406" s="227"/>
      <c r="D1406" s="226"/>
      <c r="E1406" s="227"/>
      <c r="F1406" s="227"/>
    </row>
    <row r="1407" spans="2:6" ht="12.75">
      <c r="B1407" s="226"/>
      <c r="C1407" s="227"/>
      <c r="D1407" s="226"/>
      <c r="E1407" s="227"/>
      <c r="F1407" s="227"/>
    </row>
    <row r="1408" spans="2:6" ht="12.75">
      <c r="B1408" s="226"/>
      <c r="C1408" s="227"/>
      <c r="D1408" s="226"/>
      <c r="E1408" s="227"/>
      <c r="F1408" s="227"/>
    </row>
    <row r="1409" spans="2:6" ht="12.75">
      <c r="B1409" s="226"/>
      <c r="C1409" s="227"/>
      <c r="D1409" s="226"/>
      <c r="E1409" s="227"/>
      <c r="F1409" s="227"/>
    </row>
    <row r="1410" spans="2:6" ht="12.75">
      <c r="B1410" s="226"/>
      <c r="C1410" s="227"/>
      <c r="D1410" s="226"/>
      <c r="E1410" s="227"/>
      <c r="F1410" s="227"/>
    </row>
    <row r="1411" spans="2:6" ht="12.75">
      <c r="B1411" s="226"/>
      <c r="C1411" s="227"/>
      <c r="D1411" s="226"/>
      <c r="E1411" s="227"/>
      <c r="F1411" s="227"/>
    </row>
    <row r="1412" spans="2:6" ht="12.75">
      <c r="B1412" s="226"/>
      <c r="C1412" s="227"/>
      <c r="D1412" s="226"/>
      <c r="E1412" s="227"/>
      <c r="F1412" s="227"/>
    </row>
    <row r="1413" spans="2:6" ht="12.75">
      <c r="B1413" s="226"/>
      <c r="C1413" s="227"/>
      <c r="D1413" s="226"/>
      <c r="E1413" s="227"/>
      <c r="F1413" s="227"/>
    </row>
    <row r="1414" spans="2:6" ht="12.75">
      <c r="B1414" s="226"/>
      <c r="C1414" s="227"/>
      <c r="D1414" s="226"/>
      <c r="E1414" s="227"/>
      <c r="F1414" s="227"/>
    </row>
    <row r="1415" spans="2:6" ht="12.75">
      <c r="B1415" s="226"/>
      <c r="C1415" s="227"/>
      <c r="D1415" s="226"/>
      <c r="E1415" s="227"/>
      <c r="F1415" s="227"/>
    </row>
    <row r="1416" spans="2:6" ht="12.75">
      <c r="B1416" s="226"/>
      <c r="C1416" s="227"/>
      <c r="D1416" s="226"/>
      <c r="E1416" s="227"/>
      <c r="F1416" s="227"/>
    </row>
    <row r="1417" spans="2:6" ht="12.75">
      <c r="B1417" s="226"/>
      <c r="C1417" s="227"/>
      <c r="D1417" s="226"/>
      <c r="E1417" s="227"/>
      <c r="F1417" s="227"/>
    </row>
    <row r="1418" spans="2:6" ht="12.75">
      <c r="B1418" s="226"/>
      <c r="C1418" s="227"/>
      <c r="D1418" s="226"/>
      <c r="E1418" s="227"/>
      <c r="F1418" s="227"/>
    </row>
    <row r="1419" spans="2:6" ht="12.75">
      <c r="B1419" s="226"/>
      <c r="C1419" s="227"/>
      <c r="D1419" s="226"/>
      <c r="E1419" s="227"/>
      <c r="F1419" s="227"/>
    </row>
    <row r="1420" spans="2:6" ht="12.75">
      <c r="B1420" s="226"/>
      <c r="C1420" s="227"/>
      <c r="D1420" s="226"/>
      <c r="E1420" s="227"/>
      <c r="F1420" s="227"/>
    </row>
    <row r="1421" spans="2:6" ht="12.75">
      <c r="B1421" s="226"/>
      <c r="C1421" s="227"/>
      <c r="D1421" s="226"/>
      <c r="E1421" s="227"/>
      <c r="F1421" s="227"/>
    </row>
    <row r="1422" spans="2:6" ht="12.75">
      <c r="B1422" s="226"/>
      <c r="C1422" s="227"/>
      <c r="D1422" s="226"/>
      <c r="E1422" s="227"/>
      <c r="F1422" s="227"/>
    </row>
    <row r="1423" spans="2:6" ht="12.75">
      <c r="B1423" s="226"/>
      <c r="C1423" s="227"/>
      <c r="D1423" s="226"/>
      <c r="E1423" s="227"/>
      <c r="F1423" s="227"/>
    </row>
    <row r="1424" spans="2:6" ht="12.75">
      <c r="B1424" s="226"/>
      <c r="C1424" s="227"/>
      <c r="D1424" s="226"/>
      <c r="E1424" s="227"/>
      <c r="F1424" s="227"/>
    </row>
    <row r="1425" spans="2:6" ht="12.75">
      <c r="B1425" s="226"/>
      <c r="C1425" s="227"/>
      <c r="D1425" s="226"/>
      <c r="E1425" s="227"/>
      <c r="F1425" s="227"/>
    </row>
    <row r="1426" spans="2:6" ht="12.75">
      <c r="B1426" s="226"/>
      <c r="C1426" s="227"/>
      <c r="D1426" s="226"/>
      <c r="E1426" s="227"/>
      <c r="F1426" s="227"/>
    </row>
    <row r="1427" spans="2:6" ht="12.75">
      <c r="B1427" s="226"/>
      <c r="C1427" s="227"/>
      <c r="D1427" s="226"/>
      <c r="E1427" s="227"/>
      <c r="F1427" s="227"/>
    </row>
    <row r="1428" spans="2:6" ht="12.75">
      <c r="B1428" s="226"/>
      <c r="C1428" s="227"/>
      <c r="D1428" s="226"/>
      <c r="E1428" s="227"/>
      <c r="F1428" s="227"/>
    </row>
    <row r="1429" spans="2:6" ht="12.75">
      <c r="B1429" s="226"/>
      <c r="C1429" s="227"/>
      <c r="D1429" s="226"/>
      <c r="E1429" s="227"/>
      <c r="F1429" s="227"/>
    </row>
    <row r="1430" spans="2:6" ht="12.75">
      <c r="B1430" s="226"/>
      <c r="C1430" s="227"/>
      <c r="D1430" s="226"/>
      <c r="E1430" s="227"/>
      <c r="F1430" s="227"/>
    </row>
    <row r="1431" spans="2:6" ht="12.75">
      <c r="B1431" s="226"/>
      <c r="C1431" s="227"/>
      <c r="D1431" s="226"/>
      <c r="E1431" s="227"/>
      <c r="F1431" s="227"/>
    </row>
    <row r="1432" spans="2:6" ht="12.75">
      <c r="B1432" s="226"/>
      <c r="C1432" s="227"/>
      <c r="D1432" s="226"/>
      <c r="E1432" s="227"/>
      <c r="F1432" s="227"/>
    </row>
    <row r="1433" spans="2:6" ht="12.75">
      <c r="B1433" s="226"/>
      <c r="C1433" s="227"/>
      <c r="D1433" s="226"/>
      <c r="E1433" s="227"/>
      <c r="F1433" s="227"/>
    </row>
    <row r="1434" spans="2:6" ht="12.75">
      <c r="B1434" s="226"/>
      <c r="C1434" s="227"/>
      <c r="D1434" s="226"/>
      <c r="E1434" s="227"/>
      <c r="F1434" s="227"/>
    </row>
    <row r="1435" spans="2:6" ht="12.75">
      <c r="B1435" s="226"/>
      <c r="C1435" s="227"/>
      <c r="D1435" s="226"/>
      <c r="E1435" s="227"/>
      <c r="F1435" s="227"/>
    </row>
    <row r="1436" spans="2:6" ht="12.75">
      <c r="B1436" s="226"/>
      <c r="C1436" s="227"/>
      <c r="D1436" s="226"/>
      <c r="E1436" s="227"/>
      <c r="F1436" s="227"/>
    </row>
    <row r="1437" spans="2:6" ht="12.75">
      <c r="B1437" s="226"/>
      <c r="C1437" s="227"/>
      <c r="D1437" s="226"/>
      <c r="E1437" s="227"/>
      <c r="F1437" s="227"/>
    </row>
    <row r="1438" spans="2:6" ht="12.75">
      <c r="B1438" s="226"/>
      <c r="C1438" s="227"/>
      <c r="D1438" s="226"/>
      <c r="E1438" s="227"/>
      <c r="F1438" s="227"/>
    </row>
    <row r="1439" spans="2:6" ht="12.75">
      <c r="B1439" s="226"/>
      <c r="C1439" s="227"/>
      <c r="D1439" s="226"/>
      <c r="E1439" s="227"/>
      <c r="F1439" s="227"/>
    </row>
    <row r="1440" spans="2:6" ht="12.75">
      <c r="B1440" s="226"/>
      <c r="C1440" s="227"/>
      <c r="D1440" s="226"/>
      <c r="E1440" s="227"/>
      <c r="F1440" s="227"/>
    </row>
    <row r="1441" spans="2:6" ht="12.75">
      <c r="B1441" s="226"/>
      <c r="C1441" s="227"/>
      <c r="D1441" s="226"/>
      <c r="E1441" s="227"/>
      <c r="F1441" s="227"/>
    </row>
    <row r="1442" spans="2:6" ht="12.75">
      <c r="B1442" s="226"/>
      <c r="C1442" s="227"/>
      <c r="D1442" s="226"/>
      <c r="E1442" s="227"/>
      <c r="F1442" s="227"/>
    </row>
    <row r="1443" spans="2:6" ht="12.75">
      <c r="B1443" s="226"/>
      <c r="C1443" s="227"/>
      <c r="D1443" s="226"/>
      <c r="E1443" s="227"/>
      <c r="F1443" s="227"/>
    </row>
    <row r="1444" spans="2:6" ht="12.75">
      <c r="B1444" s="226"/>
      <c r="C1444" s="227"/>
      <c r="D1444" s="226"/>
      <c r="E1444" s="227"/>
      <c r="F1444" s="227"/>
    </row>
    <row r="1445" spans="2:6" ht="12.75">
      <c r="B1445" s="226"/>
      <c r="C1445" s="227"/>
      <c r="D1445" s="226"/>
      <c r="E1445" s="227"/>
      <c r="F1445" s="227"/>
    </row>
    <row r="1446" spans="2:6" ht="12.75">
      <c r="B1446" s="226"/>
      <c r="C1446" s="227"/>
      <c r="D1446" s="226"/>
      <c r="E1446" s="227"/>
      <c r="F1446" s="227"/>
    </row>
    <row r="1447" spans="2:6" ht="12.75">
      <c r="B1447" s="226"/>
      <c r="C1447" s="227"/>
      <c r="D1447" s="226"/>
      <c r="E1447" s="227"/>
      <c r="F1447" s="227"/>
    </row>
    <row r="1448" spans="2:6" ht="12.75">
      <c r="B1448" s="226"/>
      <c r="C1448" s="227"/>
      <c r="D1448" s="226"/>
      <c r="E1448" s="227"/>
      <c r="F1448" s="227"/>
    </row>
    <row r="1449" spans="2:6" ht="12.75">
      <c r="B1449" s="226"/>
      <c r="C1449" s="227"/>
      <c r="D1449" s="226"/>
      <c r="E1449" s="227"/>
      <c r="F1449" s="227"/>
    </row>
    <row r="1450" spans="2:6" ht="12.75">
      <c r="B1450" s="226"/>
      <c r="C1450" s="227"/>
      <c r="D1450" s="226"/>
      <c r="E1450" s="227"/>
      <c r="F1450" s="227"/>
    </row>
    <row r="1451" spans="2:6" ht="12.75">
      <c r="B1451" s="226"/>
      <c r="C1451" s="227"/>
      <c r="D1451" s="226"/>
      <c r="E1451" s="227"/>
      <c r="F1451" s="227"/>
    </row>
    <row r="1452" spans="2:6" ht="12.75">
      <c r="B1452" s="226"/>
      <c r="C1452" s="227"/>
      <c r="D1452" s="226"/>
      <c r="E1452" s="227"/>
      <c r="F1452" s="227"/>
    </row>
    <row r="1453" spans="2:6" ht="12.75">
      <c r="B1453" s="226"/>
      <c r="C1453" s="227"/>
      <c r="D1453" s="226"/>
      <c r="E1453" s="227"/>
      <c r="F1453" s="227"/>
    </row>
    <row r="1454" spans="2:6" ht="12.75">
      <c r="B1454" s="226"/>
      <c r="C1454" s="227"/>
      <c r="D1454" s="226"/>
      <c r="E1454" s="227"/>
      <c r="F1454" s="227"/>
    </row>
    <row r="1455" spans="2:6" ht="12.75">
      <c r="B1455" s="226"/>
      <c r="C1455" s="227"/>
      <c r="D1455" s="226"/>
      <c r="E1455" s="227"/>
      <c r="F1455" s="227"/>
    </row>
    <row r="1456" spans="2:6" ht="12.75">
      <c r="B1456" s="226"/>
      <c r="C1456" s="227"/>
      <c r="D1456" s="226"/>
      <c r="E1456" s="227"/>
      <c r="F1456" s="227"/>
    </row>
    <row r="1457" spans="2:6" ht="12.75">
      <c r="B1457" s="226"/>
      <c r="C1457" s="227"/>
      <c r="D1457" s="226"/>
      <c r="E1457" s="227"/>
      <c r="F1457" s="227"/>
    </row>
    <row r="1458" spans="2:6" ht="12.75">
      <c r="B1458" s="226"/>
      <c r="C1458" s="227"/>
      <c r="D1458" s="226"/>
      <c r="E1458" s="227"/>
      <c r="F1458" s="227"/>
    </row>
    <row r="1459" spans="2:6" ht="12.75">
      <c r="B1459" s="226"/>
      <c r="C1459" s="227"/>
      <c r="D1459" s="226"/>
      <c r="E1459" s="227"/>
      <c r="F1459" s="227"/>
    </row>
    <row r="1460" spans="2:6" ht="12.75">
      <c r="B1460" s="226"/>
      <c r="C1460" s="227"/>
      <c r="D1460" s="226"/>
      <c r="E1460" s="227"/>
      <c r="F1460" s="227"/>
    </row>
    <row r="1461" spans="2:6" ht="12.75">
      <c r="B1461" s="226"/>
      <c r="C1461" s="227"/>
      <c r="D1461" s="226"/>
      <c r="E1461" s="227"/>
      <c r="F1461" s="227"/>
    </row>
    <row r="1462" spans="2:6" ht="12.75">
      <c r="B1462" s="226"/>
      <c r="C1462" s="227"/>
      <c r="D1462" s="226"/>
      <c r="E1462" s="227"/>
      <c r="F1462" s="227"/>
    </row>
    <row r="1463" spans="2:6" ht="12.75">
      <c r="B1463" s="226"/>
      <c r="C1463" s="227"/>
      <c r="D1463" s="226"/>
      <c r="E1463" s="227"/>
      <c r="F1463" s="227"/>
    </row>
    <row r="1464" spans="2:6" ht="12.75">
      <c r="B1464" s="226"/>
      <c r="C1464" s="227"/>
      <c r="D1464" s="226"/>
      <c r="E1464" s="227"/>
      <c r="F1464" s="227"/>
    </row>
    <row r="1465" spans="2:6" ht="12.75">
      <c r="B1465" s="226"/>
      <c r="C1465" s="227"/>
      <c r="D1465" s="226"/>
      <c r="E1465" s="227"/>
      <c r="F1465" s="227"/>
    </row>
    <row r="1466" spans="2:6" ht="12.75">
      <c r="B1466" s="226"/>
      <c r="C1466" s="227"/>
      <c r="D1466" s="226"/>
      <c r="E1466" s="227"/>
      <c r="F1466" s="227"/>
    </row>
    <row r="1467" spans="2:6" ht="12.75">
      <c r="B1467" s="226"/>
      <c r="C1467" s="227"/>
      <c r="D1467" s="226"/>
      <c r="E1467" s="227"/>
      <c r="F1467" s="227"/>
    </row>
    <row r="1468" spans="2:6" ht="12.75">
      <c r="B1468" s="226"/>
      <c r="C1468" s="227"/>
      <c r="D1468" s="226"/>
      <c r="E1468" s="227"/>
      <c r="F1468" s="227"/>
    </row>
    <row r="1469" spans="2:6" ht="12.75">
      <c r="B1469" s="226"/>
      <c r="C1469" s="227"/>
      <c r="D1469" s="226"/>
      <c r="E1469" s="227"/>
      <c r="F1469" s="227"/>
    </row>
    <row r="1470" spans="2:6" ht="12.75">
      <c r="B1470" s="226"/>
      <c r="C1470" s="227"/>
      <c r="D1470" s="226"/>
      <c r="E1470" s="227"/>
      <c r="F1470" s="227"/>
    </row>
    <row r="1471" spans="2:6" ht="12.75">
      <c r="B1471" s="226"/>
      <c r="C1471" s="227"/>
      <c r="D1471" s="226"/>
      <c r="E1471" s="227"/>
      <c r="F1471" s="227"/>
    </row>
    <row r="1472" spans="2:6" ht="12.75">
      <c r="B1472" s="226"/>
      <c r="C1472" s="227"/>
      <c r="D1472" s="226"/>
      <c r="E1472" s="227"/>
      <c r="F1472" s="227"/>
    </row>
    <row r="1473" spans="2:6" ht="12.75">
      <c r="B1473" s="226"/>
      <c r="C1473" s="227"/>
      <c r="D1473" s="226"/>
      <c r="E1473" s="227"/>
      <c r="F1473" s="227"/>
    </row>
    <row r="1474" spans="2:6" ht="12.75">
      <c r="B1474" s="226"/>
      <c r="C1474" s="227"/>
      <c r="D1474" s="226"/>
      <c r="E1474" s="227"/>
      <c r="F1474" s="227"/>
    </row>
    <row r="1475" spans="2:6" ht="12.75">
      <c r="B1475" s="226"/>
      <c r="C1475" s="227"/>
      <c r="D1475" s="226"/>
      <c r="E1475" s="227"/>
      <c r="F1475" s="227"/>
    </row>
    <row r="1476" spans="2:6" ht="12.75">
      <c r="B1476" s="226"/>
      <c r="C1476" s="227"/>
      <c r="D1476" s="226"/>
      <c r="E1476" s="227"/>
      <c r="F1476" s="227"/>
    </row>
    <row r="1477" spans="2:6" ht="12.75">
      <c r="B1477" s="226"/>
      <c r="C1477" s="227"/>
      <c r="D1477" s="226"/>
      <c r="E1477" s="227"/>
      <c r="F1477" s="227"/>
    </row>
    <row r="1478" spans="2:6" ht="12.75">
      <c r="B1478" s="226"/>
      <c r="C1478" s="227"/>
      <c r="D1478" s="226"/>
      <c r="E1478" s="227"/>
      <c r="F1478" s="227"/>
    </row>
    <row r="1479" spans="2:6" ht="12.75">
      <c r="B1479" s="226"/>
      <c r="C1479" s="227"/>
      <c r="D1479" s="226"/>
      <c r="E1479" s="227"/>
      <c r="F1479" s="227"/>
    </row>
    <row r="1480" spans="2:6" ht="12.75">
      <c r="B1480" s="226"/>
      <c r="C1480" s="227"/>
      <c r="D1480" s="226"/>
      <c r="E1480" s="227"/>
      <c r="F1480" s="227"/>
    </row>
    <row r="1481" spans="2:6" ht="12.75">
      <c r="B1481" s="226"/>
      <c r="C1481" s="227"/>
      <c r="D1481" s="226"/>
      <c r="E1481" s="227"/>
      <c r="F1481" s="227"/>
    </row>
    <row r="1482" spans="2:6" ht="12.75">
      <c r="B1482" s="226"/>
      <c r="C1482" s="227"/>
      <c r="D1482" s="226"/>
      <c r="E1482" s="227"/>
      <c r="F1482" s="227"/>
    </row>
    <row r="1483" spans="2:6" ht="12.75">
      <c r="B1483" s="226"/>
      <c r="C1483" s="227"/>
      <c r="D1483" s="226"/>
      <c r="E1483" s="227"/>
      <c r="F1483" s="227"/>
    </row>
    <row r="1484" spans="2:6" ht="12.75">
      <c r="B1484" s="226"/>
      <c r="C1484" s="227"/>
      <c r="D1484" s="226"/>
      <c r="E1484" s="227"/>
      <c r="F1484" s="227"/>
    </row>
    <row r="1485" spans="2:6" ht="12.75">
      <c r="B1485" s="226"/>
      <c r="C1485" s="227"/>
      <c r="D1485" s="226"/>
      <c r="E1485" s="227"/>
      <c r="F1485" s="227"/>
    </row>
    <row r="1486" spans="2:6" ht="12.75">
      <c r="B1486" s="226"/>
      <c r="C1486" s="227"/>
      <c r="D1486" s="226"/>
      <c r="E1486" s="227"/>
      <c r="F1486" s="227"/>
    </row>
    <row r="1487" spans="2:6" ht="12.75">
      <c r="B1487" s="226"/>
      <c r="C1487" s="227"/>
      <c r="D1487" s="226"/>
      <c r="E1487" s="227"/>
      <c r="F1487" s="227"/>
    </row>
    <row r="1488" spans="2:6" ht="12.75">
      <c r="B1488" s="226"/>
      <c r="C1488" s="227"/>
      <c r="D1488" s="226"/>
      <c r="E1488" s="227"/>
      <c r="F1488" s="227"/>
    </row>
    <row r="1489" spans="2:6" ht="12.75">
      <c r="B1489" s="226"/>
      <c r="C1489" s="227"/>
      <c r="D1489" s="226"/>
      <c r="E1489" s="227"/>
      <c r="F1489" s="227"/>
    </row>
    <row r="1490" spans="2:6" ht="12.75">
      <c r="B1490" s="226"/>
      <c r="C1490" s="227"/>
      <c r="D1490" s="226"/>
      <c r="E1490" s="227"/>
      <c r="F1490" s="227"/>
    </row>
    <row r="1491" spans="2:6" ht="12.75">
      <c r="B1491" s="226"/>
      <c r="C1491" s="227"/>
      <c r="D1491" s="226"/>
      <c r="E1491" s="227"/>
      <c r="F1491" s="227"/>
    </row>
    <row r="1492" spans="2:6" ht="12.75">
      <c r="B1492" s="226"/>
      <c r="C1492" s="227"/>
      <c r="D1492" s="226"/>
      <c r="E1492" s="227"/>
      <c r="F1492" s="227"/>
    </row>
    <row r="1493" spans="2:6" ht="12.75">
      <c r="B1493" s="226"/>
      <c r="C1493" s="227"/>
      <c r="D1493" s="226"/>
      <c r="E1493" s="227"/>
      <c r="F1493" s="227"/>
    </row>
    <row r="1494" spans="2:6" ht="12.75">
      <c r="B1494" s="226"/>
      <c r="C1494" s="227"/>
      <c r="D1494" s="226"/>
      <c r="E1494" s="227"/>
      <c r="F1494" s="227"/>
    </row>
    <row r="1495" spans="2:6" ht="12.75">
      <c r="B1495" s="226"/>
      <c r="C1495" s="227"/>
      <c r="D1495" s="226"/>
      <c r="E1495" s="227"/>
      <c r="F1495" s="227"/>
    </row>
    <row r="1496" spans="2:6" ht="12.75">
      <c r="B1496" s="226"/>
      <c r="C1496" s="227"/>
      <c r="D1496" s="226"/>
      <c r="E1496" s="227"/>
      <c r="F1496" s="227"/>
    </row>
    <row r="1497" spans="2:6" ht="12.75">
      <c r="B1497" s="226"/>
      <c r="C1497" s="227"/>
      <c r="D1497" s="226"/>
      <c r="E1497" s="227"/>
      <c r="F1497" s="227"/>
    </row>
    <row r="1498" spans="2:6" ht="12.75">
      <c r="B1498" s="226"/>
      <c r="C1498" s="227"/>
      <c r="D1498" s="226"/>
      <c r="E1498" s="227"/>
      <c r="F1498" s="227"/>
    </row>
    <row r="1499" spans="2:6" ht="12.75">
      <c r="B1499" s="226"/>
      <c r="C1499" s="227"/>
      <c r="D1499" s="226"/>
      <c r="E1499" s="227"/>
      <c r="F1499" s="227"/>
    </row>
    <row r="1500" spans="2:6" ht="12.75">
      <c r="B1500" s="226"/>
      <c r="C1500" s="227"/>
      <c r="D1500" s="226"/>
      <c r="E1500" s="227"/>
      <c r="F1500" s="227"/>
    </row>
    <row r="1501" spans="2:6" ht="12.75">
      <c r="B1501" s="226"/>
      <c r="C1501" s="227"/>
      <c r="D1501" s="226"/>
      <c r="E1501" s="227"/>
      <c r="F1501" s="227"/>
    </row>
    <row r="1502" spans="2:6" ht="12.75">
      <c r="B1502" s="226"/>
      <c r="C1502" s="227"/>
      <c r="D1502" s="226"/>
      <c r="E1502" s="227"/>
      <c r="F1502" s="227"/>
    </row>
    <row r="1503" spans="2:6" ht="12.75">
      <c r="B1503" s="226"/>
      <c r="C1503" s="227"/>
      <c r="D1503" s="226"/>
      <c r="E1503" s="227"/>
      <c r="F1503" s="227"/>
    </row>
    <row r="1504" spans="2:6" ht="12.75">
      <c r="B1504" s="226"/>
      <c r="C1504" s="227"/>
      <c r="D1504" s="226"/>
      <c r="E1504" s="227"/>
      <c r="F1504" s="227"/>
    </row>
    <row r="1505" spans="2:6" ht="12.75">
      <c r="B1505" s="226"/>
      <c r="C1505" s="227"/>
      <c r="D1505" s="226"/>
      <c r="E1505" s="227"/>
      <c r="F1505" s="227"/>
    </row>
    <row r="1506" spans="2:6" ht="12.75">
      <c r="B1506" s="226"/>
      <c r="C1506" s="227"/>
      <c r="D1506" s="226"/>
      <c r="E1506" s="227"/>
      <c r="F1506" s="227"/>
    </row>
    <row r="1507" spans="2:6" ht="12.75">
      <c r="B1507" s="226"/>
      <c r="C1507" s="227"/>
      <c r="D1507" s="226"/>
      <c r="E1507" s="227"/>
      <c r="F1507" s="227"/>
    </row>
    <row r="1508" spans="2:6" ht="12.75">
      <c r="B1508" s="226"/>
      <c r="C1508" s="227"/>
      <c r="D1508" s="226"/>
      <c r="E1508" s="227"/>
      <c r="F1508" s="227"/>
    </row>
    <row r="1509" spans="2:6" ht="12.75">
      <c r="B1509" s="226"/>
      <c r="C1509" s="227"/>
      <c r="D1509" s="226"/>
      <c r="E1509" s="227"/>
      <c r="F1509" s="227"/>
    </row>
    <row r="1510" spans="2:6" ht="12.75">
      <c r="B1510" s="226"/>
      <c r="C1510" s="227"/>
      <c r="D1510" s="226"/>
      <c r="E1510" s="227"/>
      <c r="F1510" s="227"/>
    </row>
    <row r="1511" spans="2:6" ht="12.75">
      <c r="B1511" s="226"/>
      <c r="C1511" s="227"/>
      <c r="D1511" s="226"/>
      <c r="E1511" s="227"/>
      <c r="F1511" s="227"/>
    </row>
    <row r="1512" spans="2:6" ht="12.75">
      <c r="B1512" s="226"/>
      <c r="C1512" s="227"/>
      <c r="D1512" s="226"/>
      <c r="E1512" s="227"/>
      <c r="F1512" s="227"/>
    </row>
    <row r="1513" spans="2:6" ht="12.75">
      <c r="B1513" s="226"/>
      <c r="C1513" s="227"/>
      <c r="D1513" s="226"/>
      <c r="E1513" s="227"/>
      <c r="F1513" s="227"/>
    </row>
    <row r="1514" spans="2:6" ht="12.75">
      <c r="B1514" s="226"/>
      <c r="C1514" s="227"/>
      <c r="D1514" s="226"/>
      <c r="E1514" s="227"/>
      <c r="F1514" s="227"/>
    </row>
    <row r="1515" spans="2:6" ht="12.75">
      <c r="B1515" s="226"/>
      <c r="C1515" s="227"/>
      <c r="D1515" s="226"/>
      <c r="E1515" s="227"/>
      <c r="F1515" s="227"/>
    </row>
    <row r="1516" spans="2:6" ht="12.75">
      <c r="B1516" s="226"/>
      <c r="C1516" s="227"/>
      <c r="D1516" s="226"/>
      <c r="E1516" s="227"/>
      <c r="F1516" s="227"/>
    </row>
    <row r="1517" spans="2:6" ht="12.75">
      <c r="B1517" s="226"/>
      <c r="C1517" s="227"/>
      <c r="D1517" s="226"/>
      <c r="E1517" s="227"/>
      <c r="F1517" s="227"/>
    </row>
    <row r="1518" spans="2:6" ht="12.75">
      <c r="B1518" s="226"/>
      <c r="C1518" s="227"/>
      <c r="D1518" s="226"/>
      <c r="E1518" s="227"/>
      <c r="F1518" s="227"/>
    </row>
    <row r="1519" spans="2:6" ht="12.75">
      <c r="B1519" s="226"/>
      <c r="C1519" s="227"/>
      <c r="D1519" s="226"/>
      <c r="E1519" s="227"/>
      <c r="F1519" s="227"/>
    </row>
    <row r="1520" spans="2:6" ht="12.75">
      <c r="B1520" s="226"/>
      <c r="C1520" s="227"/>
      <c r="D1520" s="226"/>
      <c r="E1520" s="227"/>
      <c r="F1520" s="227"/>
    </row>
    <row r="1521" spans="2:6" ht="12.75">
      <c r="B1521" s="226"/>
      <c r="C1521" s="227"/>
      <c r="D1521" s="226"/>
      <c r="E1521" s="227"/>
      <c r="F1521" s="227"/>
    </row>
    <row r="1522" spans="2:6" ht="12.75">
      <c r="B1522" s="226"/>
      <c r="C1522" s="227"/>
      <c r="D1522" s="226"/>
      <c r="E1522" s="227"/>
      <c r="F1522" s="227"/>
    </row>
    <row r="1523" spans="2:6" ht="12.75">
      <c r="B1523" s="226"/>
      <c r="C1523" s="227"/>
      <c r="D1523" s="226"/>
      <c r="E1523" s="227"/>
      <c r="F1523" s="227"/>
    </row>
    <row r="1524" spans="2:6" ht="12.75">
      <c r="B1524" s="226"/>
      <c r="C1524" s="227"/>
      <c r="D1524" s="226"/>
      <c r="E1524" s="227"/>
      <c r="F1524" s="227"/>
    </row>
    <row r="1525" spans="2:6" ht="12.75">
      <c r="B1525" s="226"/>
      <c r="C1525" s="227"/>
      <c r="D1525" s="226"/>
      <c r="E1525" s="227"/>
      <c r="F1525" s="227"/>
    </row>
    <row r="1526" spans="2:6" ht="12.75">
      <c r="B1526" s="226"/>
      <c r="C1526" s="227"/>
      <c r="D1526" s="226"/>
      <c r="E1526" s="227"/>
      <c r="F1526" s="227"/>
    </row>
    <row r="1527" spans="2:6" ht="12.75">
      <c r="B1527" s="226"/>
      <c r="C1527" s="227"/>
      <c r="D1527" s="226"/>
      <c r="E1527" s="227"/>
      <c r="F1527" s="227"/>
    </row>
    <row r="1528" spans="2:6" ht="12.75">
      <c r="B1528" s="226"/>
      <c r="C1528" s="227"/>
      <c r="D1528" s="226"/>
      <c r="E1528" s="227"/>
      <c r="F1528" s="227"/>
    </row>
    <row r="1529" spans="2:6" ht="12.75">
      <c r="B1529" s="226"/>
      <c r="C1529" s="227"/>
      <c r="D1529" s="226"/>
      <c r="E1529" s="227"/>
      <c r="F1529" s="227"/>
    </row>
    <row r="1530" spans="2:6" ht="12.75">
      <c r="B1530" s="226"/>
      <c r="C1530" s="227"/>
      <c r="D1530" s="226"/>
      <c r="E1530" s="227"/>
      <c r="F1530" s="227"/>
    </row>
    <row r="1531" spans="2:6" ht="12.75">
      <c r="B1531" s="226"/>
      <c r="C1531" s="227"/>
      <c r="D1531" s="226"/>
      <c r="E1531" s="227"/>
      <c r="F1531" s="227"/>
    </row>
    <row r="1532" spans="2:6" ht="12.75">
      <c r="B1532" s="226"/>
      <c r="C1532" s="227"/>
      <c r="D1532" s="226"/>
      <c r="E1532" s="227"/>
      <c r="F1532" s="227"/>
    </row>
    <row r="1533" spans="2:6" ht="12.75">
      <c r="B1533" s="226"/>
      <c r="C1533" s="227"/>
      <c r="D1533" s="226"/>
      <c r="E1533" s="227"/>
      <c r="F1533" s="227"/>
    </row>
    <row r="1534" spans="2:6" ht="12.75">
      <c r="B1534" s="226"/>
      <c r="C1534" s="227"/>
      <c r="D1534" s="226"/>
      <c r="E1534" s="227"/>
      <c r="F1534" s="227"/>
    </row>
    <row r="1535" spans="2:6" ht="12.75">
      <c r="B1535" s="226"/>
      <c r="C1535" s="227"/>
      <c r="D1535" s="226"/>
      <c r="E1535" s="227"/>
      <c r="F1535" s="227"/>
    </row>
    <row r="1536" spans="2:6" ht="12.75">
      <c r="B1536" s="226"/>
      <c r="C1536" s="227"/>
      <c r="D1536" s="226"/>
      <c r="E1536" s="227"/>
      <c r="F1536" s="227"/>
    </row>
    <row r="1537" spans="2:6" ht="12.75">
      <c r="B1537" s="226"/>
      <c r="C1537" s="227"/>
      <c r="D1537" s="226"/>
      <c r="E1537" s="227"/>
      <c r="F1537" s="227"/>
    </row>
    <row r="1538" spans="2:6" ht="12.75">
      <c r="B1538" s="226"/>
      <c r="C1538" s="227"/>
      <c r="D1538" s="226"/>
      <c r="E1538" s="227"/>
      <c r="F1538" s="227"/>
    </row>
    <row r="1539" spans="2:6" ht="12.75">
      <c r="B1539" s="226"/>
      <c r="C1539" s="227"/>
      <c r="D1539" s="226"/>
      <c r="E1539" s="227"/>
      <c r="F1539" s="227"/>
    </row>
    <row r="1540" spans="2:6" ht="12.75">
      <c r="B1540" s="226"/>
      <c r="C1540" s="227"/>
      <c r="D1540" s="226"/>
      <c r="E1540" s="227"/>
      <c r="F1540" s="227"/>
    </row>
    <row r="1541" spans="2:6" ht="12.75">
      <c r="B1541" s="226"/>
      <c r="C1541" s="227"/>
      <c r="D1541" s="226"/>
      <c r="E1541" s="227"/>
      <c r="F1541" s="227"/>
    </row>
    <row r="1542" spans="2:6" ht="12.75">
      <c r="B1542" s="226"/>
      <c r="C1542" s="227"/>
      <c r="D1542" s="226"/>
      <c r="E1542" s="227"/>
      <c r="F1542" s="227"/>
    </row>
    <row r="1543" spans="2:6" ht="12.75">
      <c r="B1543" s="226"/>
      <c r="C1543" s="227"/>
      <c r="D1543" s="226"/>
      <c r="E1543" s="227"/>
      <c r="F1543" s="227"/>
    </row>
    <row r="1544" spans="2:6" ht="12.75">
      <c r="B1544" s="226"/>
      <c r="C1544" s="227"/>
      <c r="D1544" s="226"/>
      <c r="E1544" s="227"/>
      <c r="F1544" s="227"/>
    </row>
    <row r="1545" spans="2:6" ht="12.75">
      <c r="B1545" s="226"/>
      <c r="C1545" s="227"/>
      <c r="D1545" s="226"/>
      <c r="E1545" s="227"/>
      <c r="F1545" s="227"/>
    </row>
    <row r="1546" spans="2:6" ht="12.75">
      <c r="B1546" s="226"/>
      <c r="C1546" s="227"/>
      <c r="D1546" s="226"/>
      <c r="E1546" s="227"/>
      <c r="F1546" s="227"/>
    </row>
    <row r="1547" spans="2:6" ht="12.75">
      <c r="B1547" s="226"/>
      <c r="C1547" s="227"/>
      <c r="D1547" s="226"/>
      <c r="E1547" s="227"/>
      <c r="F1547" s="227"/>
    </row>
    <row r="1548" spans="2:6" ht="12.75">
      <c r="B1548" s="226"/>
      <c r="C1548" s="227"/>
      <c r="D1548" s="226"/>
      <c r="E1548" s="227"/>
      <c r="F1548" s="227"/>
    </row>
    <row r="1549" spans="2:6" ht="12.75">
      <c r="B1549" s="226"/>
      <c r="C1549" s="227"/>
      <c r="D1549" s="226"/>
      <c r="E1549" s="227"/>
      <c r="F1549" s="227"/>
    </row>
    <row r="1550" spans="2:6" ht="12.75">
      <c r="B1550" s="226"/>
      <c r="C1550" s="227"/>
      <c r="D1550" s="226"/>
      <c r="E1550" s="227"/>
      <c r="F1550" s="227"/>
    </row>
    <row r="1551" spans="2:6" ht="12.75">
      <c r="B1551" s="226"/>
      <c r="C1551" s="227"/>
      <c r="D1551" s="226"/>
      <c r="E1551" s="227"/>
      <c r="F1551" s="227"/>
    </row>
    <row r="1552" spans="2:6" ht="12.75">
      <c r="B1552" s="226"/>
      <c r="C1552" s="227"/>
      <c r="D1552" s="226"/>
      <c r="E1552" s="227"/>
      <c r="F1552" s="227"/>
    </row>
    <row r="1553" spans="2:6" ht="12.75">
      <c r="B1553" s="226"/>
      <c r="C1553" s="227"/>
      <c r="D1553" s="226"/>
      <c r="E1553" s="227"/>
      <c r="F1553" s="227"/>
    </row>
    <row r="1554" spans="2:6" ht="12.75">
      <c r="B1554" s="226"/>
      <c r="C1554" s="227"/>
      <c r="D1554" s="226"/>
      <c r="E1554" s="227"/>
      <c r="F1554" s="227"/>
    </row>
    <row r="1555" spans="2:6" ht="12.75">
      <c r="B1555" s="226"/>
      <c r="C1555" s="227"/>
      <c r="D1555" s="226"/>
      <c r="E1555" s="227"/>
      <c r="F1555" s="227"/>
    </row>
    <row r="1556" spans="2:6" ht="12.75">
      <c r="B1556" s="226"/>
      <c r="C1556" s="227"/>
      <c r="D1556" s="226"/>
      <c r="E1556" s="227"/>
      <c r="F1556" s="227"/>
    </row>
    <row r="1557" spans="2:6" ht="12.75">
      <c r="B1557" s="226"/>
      <c r="C1557" s="227"/>
      <c r="D1557" s="226"/>
      <c r="E1557" s="227"/>
      <c r="F1557" s="227"/>
    </row>
    <row r="1558" spans="2:6" ht="12.75">
      <c r="B1558" s="226"/>
      <c r="C1558" s="227"/>
      <c r="D1558" s="226"/>
      <c r="E1558" s="227"/>
      <c r="F1558" s="227"/>
    </row>
    <row r="1559" spans="2:6" ht="12.75">
      <c r="B1559" s="226"/>
      <c r="C1559" s="227"/>
      <c r="D1559" s="226"/>
      <c r="E1559" s="227"/>
      <c r="F1559" s="227"/>
    </row>
    <row r="1560" spans="2:6" ht="12.75">
      <c r="B1560" s="226"/>
      <c r="C1560" s="227"/>
      <c r="D1560" s="226"/>
      <c r="E1560" s="227"/>
      <c r="F1560" s="227"/>
    </row>
    <row r="1561" spans="2:6" ht="12.75">
      <c r="B1561" s="226"/>
      <c r="C1561" s="227"/>
      <c r="D1561" s="226"/>
      <c r="E1561" s="227"/>
      <c r="F1561" s="227"/>
    </row>
    <row r="1562" spans="2:6" ht="12.75">
      <c r="B1562" s="226"/>
      <c r="C1562" s="227"/>
      <c r="D1562" s="226"/>
      <c r="E1562" s="227"/>
      <c r="F1562" s="227"/>
    </row>
    <row r="1563" spans="2:6" ht="12.75">
      <c r="B1563" s="226"/>
      <c r="C1563" s="227"/>
      <c r="D1563" s="226"/>
      <c r="E1563" s="227"/>
      <c r="F1563" s="227"/>
    </row>
    <row r="1564" spans="2:6" ht="12.75">
      <c r="B1564" s="226"/>
      <c r="C1564" s="227"/>
      <c r="D1564" s="226"/>
      <c r="E1564" s="227"/>
      <c r="F1564" s="227"/>
    </row>
    <row r="1565" spans="2:6" ht="12.75">
      <c r="B1565" s="226"/>
      <c r="C1565" s="227"/>
      <c r="D1565" s="226"/>
      <c r="E1565" s="227"/>
      <c r="F1565" s="227"/>
    </row>
    <row r="1566" spans="2:6" ht="12.75">
      <c r="B1566" s="226"/>
      <c r="C1566" s="227"/>
      <c r="D1566" s="226"/>
      <c r="E1566" s="227"/>
      <c r="F1566" s="227"/>
    </row>
    <row r="1567" spans="2:6" ht="12.75">
      <c r="B1567" s="226"/>
      <c r="C1567" s="227"/>
      <c r="D1567" s="226"/>
      <c r="E1567" s="227"/>
      <c r="F1567" s="227"/>
    </row>
    <row r="1568" spans="2:6" ht="12.75">
      <c r="B1568" s="226"/>
      <c r="C1568" s="227"/>
      <c r="D1568" s="226"/>
      <c r="E1568" s="227"/>
      <c r="F1568" s="227"/>
    </row>
    <row r="1569" spans="2:6" ht="12.75">
      <c r="B1569" s="226"/>
      <c r="C1569" s="227"/>
      <c r="D1569" s="226"/>
      <c r="E1569" s="227"/>
      <c r="F1569" s="227"/>
    </row>
    <row r="1570" spans="2:6" ht="12.75">
      <c r="B1570" s="226"/>
      <c r="C1570" s="227"/>
      <c r="D1570" s="226"/>
      <c r="E1570" s="227"/>
      <c r="F1570" s="227"/>
    </row>
    <row r="1571" spans="2:6" ht="12.75">
      <c r="B1571" s="226"/>
      <c r="C1571" s="227"/>
      <c r="D1571" s="226"/>
      <c r="E1571" s="227"/>
      <c r="F1571" s="227"/>
    </row>
    <row r="1572" spans="2:6" ht="12.75">
      <c r="B1572" s="226"/>
      <c r="C1572" s="227"/>
      <c r="D1572" s="226"/>
      <c r="E1572" s="227"/>
      <c r="F1572" s="227"/>
    </row>
    <row r="1573" spans="2:6" ht="12.75">
      <c r="B1573" s="226"/>
      <c r="C1573" s="227"/>
      <c r="D1573" s="226"/>
      <c r="E1573" s="227"/>
      <c r="F1573" s="227"/>
    </row>
    <row r="1574" spans="2:6" ht="12.75">
      <c r="B1574" s="226"/>
      <c r="C1574" s="227"/>
      <c r="D1574" s="226"/>
      <c r="E1574" s="227"/>
      <c r="F1574" s="227"/>
    </row>
    <row r="1575" spans="2:6" ht="12.75">
      <c r="B1575" s="226"/>
      <c r="C1575" s="227"/>
      <c r="D1575" s="226"/>
      <c r="E1575" s="227"/>
      <c r="F1575" s="227"/>
    </row>
    <row r="1576" spans="2:6" ht="12.75">
      <c r="B1576" s="226"/>
      <c r="C1576" s="227"/>
      <c r="D1576" s="226"/>
      <c r="E1576" s="227"/>
      <c r="F1576" s="227"/>
    </row>
    <row r="1577" spans="2:6" ht="12.75">
      <c r="B1577" s="226"/>
      <c r="C1577" s="227"/>
      <c r="D1577" s="226"/>
      <c r="E1577" s="227"/>
      <c r="F1577" s="227"/>
    </row>
    <row r="1578" spans="2:6" ht="12.75">
      <c r="B1578" s="226"/>
      <c r="C1578" s="227"/>
      <c r="D1578" s="226"/>
      <c r="E1578" s="227"/>
      <c r="F1578" s="227"/>
    </row>
    <row r="1579" spans="2:6" ht="12.75">
      <c r="B1579" s="226"/>
      <c r="C1579" s="227"/>
      <c r="D1579" s="226"/>
      <c r="E1579" s="227"/>
      <c r="F1579" s="227"/>
    </row>
    <row r="1580" spans="2:6" ht="12.75">
      <c r="B1580" s="226"/>
      <c r="C1580" s="227"/>
      <c r="D1580" s="226"/>
      <c r="E1580" s="227"/>
      <c r="F1580" s="227"/>
    </row>
    <row r="1581" spans="2:6" ht="12.75">
      <c r="B1581" s="226"/>
      <c r="C1581" s="227"/>
      <c r="D1581" s="226"/>
      <c r="E1581" s="227"/>
      <c r="F1581" s="227"/>
    </row>
    <row r="1582" spans="2:6" ht="12.75">
      <c r="B1582" s="226"/>
      <c r="C1582" s="227"/>
      <c r="D1582" s="226"/>
      <c r="E1582" s="227"/>
      <c r="F1582" s="227"/>
    </row>
    <row r="1583" spans="2:6" ht="12.75">
      <c r="B1583" s="226"/>
      <c r="C1583" s="227"/>
      <c r="D1583" s="226"/>
      <c r="E1583" s="227"/>
      <c r="F1583" s="227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A21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66.28125" style="0" customWidth="1"/>
  </cols>
  <sheetData>
    <row r="1" ht="95.25" customHeight="1">
      <c r="A1" s="239">
        <f>Auslosung_Turnierdaten!G26</f>
        <v>0</v>
      </c>
    </row>
    <row r="2" ht="35.25">
      <c r="A2" s="240">
        <f>Auslosung_Turnierdaten!G31</f>
        <v>0</v>
      </c>
    </row>
    <row r="3" ht="35.25">
      <c r="A3" s="240"/>
    </row>
    <row r="4" ht="23.25">
      <c r="A4" s="219">
        <f>Auslosung_Turnierdaten!G28</f>
        <v>0</v>
      </c>
    </row>
    <row r="5" ht="23.25">
      <c r="A5" s="220">
        <f>Auslosung_Turnierdaten!G27</f>
        <v>0</v>
      </c>
    </row>
    <row r="6" ht="70.5" customHeight="1">
      <c r="A6" s="240" t="s">
        <v>220</v>
      </c>
    </row>
    <row r="7" s="241" customFormat="1" ht="35.25">
      <c r="A7" s="240"/>
    </row>
    <row r="8" ht="35.25">
      <c r="A8" s="240" t="s">
        <v>186</v>
      </c>
    </row>
    <row r="9" ht="23.25">
      <c r="A9" s="242" t="s">
        <v>186</v>
      </c>
    </row>
    <row r="21" ht="36" customHeight="1">
      <c r="A21" s="244" t="s">
        <v>189</v>
      </c>
    </row>
  </sheetData>
  <sheetProtection/>
  <printOptions/>
  <pageMargins left="1.5748031496062993" right="0.7874015748031497" top="2.362204724409449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Müller Ferdinand</cp:lastModifiedBy>
  <cp:lastPrinted>2009-10-08T06:13:35Z</cp:lastPrinted>
  <dcterms:created xsi:type="dcterms:W3CDTF">2001-09-23T08:53:31Z</dcterms:created>
  <dcterms:modified xsi:type="dcterms:W3CDTF">2011-03-02T10:05:21Z</dcterms:modified>
  <cp:category/>
  <cp:version/>
  <cp:contentType/>
  <cp:contentStatus/>
</cp:coreProperties>
</file>