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30" windowWidth="9720" windowHeight="6495" activeTab="0"/>
  </bookViews>
  <sheets>
    <sheet name="BA-Teilnehmer" sheetId="1" r:id="rId1"/>
    <sheet name="Auslosung_Turnierdaten" sheetId="2" r:id="rId2"/>
    <sheet name="SP64" sheetId="3" r:id="rId3"/>
    <sheet name="Baum 64" sheetId="4" r:id="rId4"/>
    <sheet name="Paarung drucken" sheetId="5" r:id="rId5"/>
    <sheet name="Tabelle" sheetId="6" r:id="rId6"/>
    <sheet name="BA-Export" sheetId="7" r:id="rId7"/>
    <sheet name="Mitglieder" sheetId="8" state="hidden" r:id="rId8"/>
  </sheets>
  <externalReferences>
    <externalReference r:id="rId11"/>
  </externalReferences>
  <definedNames>
    <definedName name="_xlnm.Print_Area" localSheetId="3">'Baum 64'!$A$1:$AI$67</definedName>
    <definedName name="_xlnm.Print_Area" localSheetId="4">'Paarung drucken'!$A$1:$I$14</definedName>
    <definedName name="_xlnm.Print_Area" localSheetId="2">'SP64'!$B$2:$L$129</definedName>
    <definedName name="_xlnm.Print_Area" localSheetId="5">'Tabelle'!$C$18:$E$40</definedName>
    <definedName name="Mitglieder">'Mitglieder'!$A:$E</definedName>
    <definedName name="sp32">'[1]SP32'!$C$2:$L$65</definedName>
    <definedName name="SP64">'SP64'!$C$2:$L$129</definedName>
  </definedNames>
  <calcPr fullCalcOnLoad="1"/>
</workbook>
</file>

<file path=xl/sharedStrings.xml><?xml version="1.0" encoding="utf-8"?>
<sst xmlns="http://schemas.openxmlformats.org/spreadsheetml/2006/main" count="4423" uniqueCount="1900">
  <si>
    <t>März, Ivonne</t>
  </si>
  <si>
    <t>März, Manuela</t>
  </si>
  <si>
    <t>März, Mario</t>
  </si>
  <si>
    <t>Mayet, Karin</t>
  </si>
  <si>
    <t>Namyslo, Udo</t>
  </si>
  <si>
    <t>Pinnow, Sabine</t>
  </si>
  <si>
    <t>Pinnow, Sandra</t>
  </si>
  <si>
    <t>Schömer, Markus</t>
  </si>
  <si>
    <t>Schwarz, Philipp</t>
  </si>
  <si>
    <t>Sölch, Florian</t>
  </si>
  <si>
    <t>Sölch, Günther</t>
  </si>
  <si>
    <t>Spies, Manuela</t>
  </si>
  <si>
    <t>Thompson, Dewayne William</t>
  </si>
  <si>
    <t>Tjio, Travis</t>
  </si>
  <si>
    <t>Wolff, Harald</t>
  </si>
  <si>
    <t>Achenbach, Peter</t>
  </si>
  <si>
    <t>Gymnas München</t>
  </si>
  <si>
    <t>Bichl, Michael</t>
  </si>
  <si>
    <t>Bittner, Frank</t>
  </si>
  <si>
    <t>Brettner, Marc</t>
  </si>
  <si>
    <t>Christoph, Holger</t>
  </si>
  <si>
    <t>Diemer, Sascha</t>
  </si>
  <si>
    <t>Dymala, Jürgen</t>
  </si>
  <si>
    <t>Fuchs, Markus</t>
  </si>
  <si>
    <t>Hartmetz, Rainer</t>
  </si>
  <si>
    <t>Heindl, Florian</t>
  </si>
  <si>
    <t>Hergeth, Markus</t>
  </si>
  <si>
    <t>Hirschbichler, Robert</t>
  </si>
  <si>
    <t>Holzer, Christian</t>
  </si>
  <si>
    <t>Huber, Michael</t>
  </si>
  <si>
    <t>Jacobs, Werner</t>
  </si>
  <si>
    <t>Klement, David</t>
  </si>
  <si>
    <t>Knauer, Rosmarie</t>
  </si>
  <si>
    <t>Kranz, Manfred</t>
  </si>
  <si>
    <t>Lange, Stefanie</t>
  </si>
  <si>
    <t>Langener, Michael</t>
  </si>
  <si>
    <t>Lehmann, Walter</t>
  </si>
  <si>
    <t>Löffler, Michael</t>
  </si>
  <si>
    <t>Mack, Alexander</t>
  </si>
  <si>
    <t>Maurus, Jonas</t>
  </si>
  <si>
    <t>Mayer, Markus</t>
  </si>
  <si>
    <t>Meir, Georg</t>
  </si>
  <si>
    <t>Meir, Richard</t>
  </si>
  <si>
    <t>Müller-Kern, Christian</t>
  </si>
  <si>
    <t>Ömürbek, Martin</t>
  </si>
  <si>
    <t>Pfitzner, Manuela</t>
  </si>
  <si>
    <t>Rentsch, Marcus</t>
  </si>
  <si>
    <t>Schäfer, Rudolf</t>
  </si>
  <si>
    <t>Schießl, Roland</t>
  </si>
  <si>
    <t>Schorscher, Ingo</t>
  </si>
  <si>
    <t>Schraufstetter, Christian</t>
  </si>
  <si>
    <t>Schrick, Christian</t>
  </si>
  <si>
    <t>Schrick, Stefan</t>
  </si>
  <si>
    <t>Schweiger, Jakob</t>
  </si>
  <si>
    <t>Schweiger, Peter</t>
  </si>
  <si>
    <t>Schwindt, Ralph</t>
  </si>
  <si>
    <t>Seifert, Sebastian</t>
  </si>
  <si>
    <t>Seifriedsberger, René</t>
  </si>
  <si>
    <t>Siegl, Florian</t>
  </si>
  <si>
    <t>Sommer, Andreas</t>
  </si>
  <si>
    <t>Stadler, Oliver</t>
  </si>
  <si>
    <t>Stadt, Gerhard</t>
  </si>
  <si>
    <t>Strupf, Alexander</t>
  </si>
  <si>
    <t>Struppler, Victor</t>
  </si>
  <si>
    <t>Taylor, Delaney</t>
  </si>
  <si>
    <t>Thoma, Christian</t>
  </si>
  <si>
    <t>Vasic, Jovan</t>
  </si>
  <si>
    <t>Verhoeve, Aleksandra</t>
  </si>
  <si>
    <t>Walser, Sebastian</t>
  </si>
  <si>
    <t>Walter, Hardy</t>
  </si>
  <si>
    <t>Warmuth, Andreas</t>
  </si>
  <si>
    <t>Wiedemann, Christian</t>
  </si>
  <si>
    <t>Wischner, Stefan</t>
  </si>
  <si>
    <t>Wojta, Sascha</t>
  </si>
  <si>
    <t>Wolf, Alexander</t>
  </si>
  <si>
    <t>Zariello, Vincenzo</t>
  </si>
  <si>
    <t>Zhang, Gangfeng</t>
  </si>
  <si>
    <t>Zörb, Daniel</t>
  </si>
  <si>
    <t>Aydin, Aytac</t>
  </si>
  <si>
    <t>PBC Hausham</t>
  </si>
  <si>
    <t>Böhme, Rolf</t>
  </si>
  <si>
    <t>Büntert, Sascha</t>
  </si>
  <si>
    <t>Deisenrieder, Christian</t>
  </si>
  <si>
    <t>Feußer, Mike</t>
  </si>
  <si>
    <t>Gereg, Alexander</t>
  </si>
  <si>
    <t>Gröbmeyer, Manfred</t>
  </si>
  <si>
    <t>Grund, Franziska</t>
  </si>
  <si>
    <t>Gulic, Robert</t>
  </si>
  <si>
    <t>Hausberger, Christian</t>
  </si>
  <si>
    <t>Kehrer, Christian</t>
  </si>
  <si>
    <t>Kloiber, Florian</t>
  </si>
  <si>
    <t>Krieger, Alexander</t>
  </si>
  <si>
    <t>Kugland, Stefan</t>
  </si>
  <si>
    <t>Moritz, Christian</t>
  </si>
  <si>
    <t>Obermayr, Steffi</t>
  </si>
  <si>
    <t>Orterer, Markus</t>
  </si>
  <si>
    <t>Paskuloff, Alexander</t>
  </si>
  <si>
    <t>Reim, Christine</t>
  </si>
  <si>
    <t>Reim, Günther</t>
  </si>
  <si>
    <t>Remitschka, Walter</t>
  </si>
  <si>
    <t>Schlutius, Tanja</t>
  </si>
  <si>
    <t>Schlutius, Walter</t>
  </si>
  <si>
    <t>Schwatzer, Martin</t>
  </si>
  <si>
    <t>Sonner, Georg</t>
  </si>
  <si>
    <t>Adamczyc, Frederik</t>
  </si>
  <si>
    <t>Haching Hunters</t>
  </si>
  <si>
    <t>Ambros, Ralf</t>
  </si>
  <si>
    <t>Bajohr, Janne</t>
  </si>
  <si>
    <t>Glas, Dietmar</t>
  </si>
  <si>
    <t>Goldberg, Pavel</t>
  </si>
  <si>
    <t>Ittermann, Hermann</t>
  </si>
  <si>
    <t>Kalfa, Taner</t>
  </si>
  <si>
    <t>Neumeier, Florian</t>
  </si>
  <si>
    <t>Nowak, Markus</t>
  </si>
  <si>
    <t>Oldja, Simone</t>
  </si>
  <si>
    <t>Salweski, Michael</t>
  </si>
  <si>
    <t>Schwarz, Franz</t>
  </si>
  <si>
    <t>Straucher, Frederik</t>
  </si>
  <si>
    <t>Voit, Martin</t>
  </si>
  <si>
    <t>Walcher, Rene</t>
  </si>
  <si>
    <t>Wegscheider, Brigitte</t>
  </si>
  <si>
    <t>Wegscheider, Renate</t>
  </si>
  <si>
    <t>Amersberger, Michael</t>
  </si>
  <si>
    <t>BANXX Grünwald</t>
  </si>
  <si>
    <t>Arndt, Marc</t>
  </si>
  <si>
    <t>Fried, Luitpold Rudolf</t>
  </si>
  <si>
    <t>Gschwendtner, Alfred</t>
  </si>
  <si>
    <t>Harras, Roland</t>
  </si>
  <si>
    <t>Knallinger, Manfred</t>
  </si>
  <si>
    <t>Micco, Nazzareno</t>
  </si>
  <si>
    <t>Milenkovic, Goran</t>
  </si>
  <si>
    <t>Misel, Atilla</t>
  </si>
  <si>
    <t>Misel, Claudia</t>
  </si>
  <si>
    <t>Müller, Gerhard</t>
  </si>
  <si>
    <t>Revesz, George Michael</t>
  </si>
  <si>
    <t>Revesz, Ralph</t>
  </si>
  <si>
    <t>Schwarz, Sybille</t>
  </si>
  <si>
    <t>Valejo Ortega, Rafael Christian</t>
  </si>
  <si>
    <t>Bäcker, Thilo</t>
  </si>
  <si>
    <t>PH Holzkirchen</t>
  </si>
  <si>
    <t>Bichler, Martin</t>
  </si>
  <si>
    <t>Coskun, Kemal</t>
  </si>
  <si>
    <t>Grad, Christian</t>
  </si>
  <si>
    <t>Grad, Franz</t>
  </si>
  <si>
    <t>Grad, Michael</t>
  </si>
  <si>
    <t>Haltmair, Markus</t>
  </si>
  <si>
    <t>Hauptstein, Gerhard</t>
  </si>
  <si>
    <t>Heller, Robert</t>
  </si>
  <si>
    <t>Hermann, Peter</t>
  </si>
  <si>
    <t>Hornecker, Adrian</t>
  </si>
  <si>
    <t>Karali, Murat</t>
  </si>
  <si>
    <t>Kienzle, Alexander</t>
  </si>
  <si>
    <t>Maier, Stefanie</t>
  </si>
  <si>
    <t>Rath, Michael</t>
  </si>
  <si>
    <t>Rödig, Markus</t>
  </si>
  <si>
    <t>Schmidt, Stefanie</t>
  </si>
  <si>
    <t>Schneider, Michael</t>
  </si>
  <si>
    <t>Schuster, Alim</t>
  </si>
  <si>
    <t>Schuster, Marius</t>
  </si>
  <si>
    <t>Stolz, Thomas</t>
  </si>
  <si>
    <t>Taubenberger, Josef</t>
  </si>
  <si>
    <t>Urban, Dominik</t>
  </si>
  <si>
    <t>Vogl, Tanja</t>
  </si>
  <si>
    <t>Walleitner, Maxi</t>
  </si>
  <si>
    <t>Baltzer, Sven</t>
  </si>
  <si>
    <t>BC Germering</t>
  </si>
  <si>
    <t>Blaschke, Hans Joachim</t>
  </si>
  <si>
    <t>Frasch, Albert</t>
  </si>
  <si>
    <t>Gries, Andreas</t>
  </si>
  <si>
    <t>Hofmann, Stefan</t>
  </si>
  <si>
    <t>Köhler, Holger</t>
  </si>
  <si>
    <t>Krafft, Wolfgang</t>
  </si>
  <si>
    <t>Krause, Uwe</t>
  </si>
  <si>
    <t>Macha, Otto</t>
  </si>
  <si>
    <t>Michl, Karin</t>
  </si>
  <si>
    <t>Peters, Reinhold</t>
  </si>
  <si>
    <t>Plank, Günter</t>
  </si>
  <si>
    <t>Rockel, Frank</t>
  </si>
  <si>
    <t>Rohrhofer, Christian</t>
  </si>
  <si>
    <t>Rusch, Michael</t>
  </si>
  <si>
    <t>Schneider, Heiko</t>
  </si>
  <si>
    <t>Sonntag, Winfried</t>
  </si>
  <si>
    <t>Werner, Tino</t>
  </si>
  <si>
    <t>Ableitner, Christoph</t>
  </si>
  <si>
    <t>Fürstenfeldbruck</t>
  </si>
  <si>
    <t>Angermeier, Erwin</t>
  </si>
  <si>
    <t>Arslan, Harun</t>
  </si>
  <si>
    <t>Baier, Uwe</t>
  </si>
  <si>
    <t>Bandmann, Christoph</t>
  </si>
  <si>
    <t>Braun, Thorsten</t>
  </si>
  <si>
    <t>Christner, Stefan</t>
  </si>
  <si>
    <t>Dege, Joachim</t>
  </si>
  <si>
    <t>Duile, Christian</t>
  </si>
  <si>
    <t>Fejeregyhazy, Thomas</t>
  </si>
  <si>
    <t>Fuchs, Benedikt</t>
  </si>
  <si>
    <t>Fuchs, Severin</t>
  </si>
  <si>
    <t>Gavenciak, Michal</t>
  </si>
  <si>
    <t>Hammacher, Uwe</t>
  </si>
  <si>
    <t>Harlfinger, Clemens</t>
  </si>
  <si>
    <t>Harms, Michael</t>
  </si>
  <si>
    <t>Heilmeier, Jürgen</t>
  </si>
  <si>
    <t>Henzler, Reinhard</t>
  </si>
  <si>
    <t>Hersina, Günter</t>
  </si>
  <si>
    <t>Hinz, Matthias</t>
  </si>
  <si>
    <t>Hirschberger, Markus</t>
  </si>
  <si>
    <t>Huber, Alexander</t>
  </si>
  <si>
    <t>Hybler, Roman</t>
  </si>
  <si>
    <t>Just, Jürgen</t>
  </si>
  <si>
    <t>Kärtner, Peter</t>
  </si>
  <si>
    <t>Klein, Anita</t>
  </si>
  <si>
    <t>Klein, Stefan</t>
  </si>
  <si>
    <t>Knechtskern, Klaus</t>
  </si>
  <si>
    <t>Koch, Natalie</t>
  </si>
  <si>
    <t>Kosowsky, Markus</t>
  </si>
  <si>
    <t>Kötzner, Thomas</t>
  </si>
  <si>
    <t>Krenek, Lukas</t>
  </si>
  <si>
    <t>Lamche, Andreas</t>
  </si>
  <si>
    <t>Langfellner, Thomas</t>
  </si>
  <si>
    <t>Lanza, Antonio</t>
  </si>
  <si>
    <t>Leroy, Detlef</t>
  </si>
  <si>
    <t>Lütschg, Oliver</t>
  </si>
  <si>
    <t>Maichle, Armin</t>
  </si>
  <si>
    <t>Maier, Robert</t>
  </si>
  <si>
    <t>Ott, Manfred</t>
  </si>
  <si>
    <t>Rudolf, Florian</t>
  </si>
  <si>
    <t>Sanktjohanser, Martin</t>
  </si>
  <si>
    <t>Schellmann, Christian</t>
  </si>
  <si>
    <t>Schröder, Christian</t>
  </si>
  <si>
    <t>Seifried, Dirk</t>
  </si>
  <si>
    <t>Seigfried, Markus</t>
  </si>
  <si>
    <t>Seiler, Thomas</t>
  </si>
  <si>
    <t>Sieber, Klaus</t>
  </si>
  <si>
    <t>Sieber, Wolfgang</t>
  </si>
  <si>
    <t>Skof, Mario</t>
  </si>
  <si>
    <t>Stolka, Harald</t>
  </si>
  <si>
    <t>Strigl, Alfred</t>
  </si>
  <si>
    <t>Tobisch-Haupt, Rene</t>
  </si>
  <si>
    <t>Weiß, Andreas</t>
  </si>
  <si>
    <t>Westermayer, Matthias</t>
  </si>
  <si>
    <t>Widmann, Roland</t>
  </si>
  <si>
    <t>Wodsack, Susanne</t>
  </si>
  <si>
    <t>Wulff, Bernhard</t>
  </si>
  <si>
    <t>Baureis, Franz</t>
  </si>
  <si>
    <t>BSC Geretsried</t>
  </si>
  <si>
    <t>Betz, Martin</t>
  </si>
  <si>
    <t>Borth, Franziska</t>
  </si>
  <si>
    <t>Eiler, Sebastian</t>
  </si>
  <si>
    <t>Feiertag, Thomas</t>
  </si>
  <si>
    <t>Heinzel, Helmut</t>
  </si>
  <si>
    <t>Kafka, Michael</t>
  </si>
  <si>
    <t>Kassler, Thomas</t>
  </si>
  <si>
    <t>Kunstmann, Uli</t>
  </si>
  <si>
    <t>Lanzinger, Markus</t>
  </si>
  <si>
    <t>Lanzinger, Martina</t>
  </si>
  <si>
    <t>Mayr, Josef</t>
  </si>
  <si>
    <t>Mayr, Katharina</t>
  </si>
  <si>
    <t>Mayr, Stefan</t>
  </si>
  <si>
    <t>Pentenrieder, Markus</t>
  </si>
  <si>
    <t>Perseis, Peter</t>
  </si>
  <si>
    <t>Pichler, Ölwin</t>
  </si>
  <si>
    <t>Podobnik, Andre</t>
  </si>
  <si>
    <t>Pratzel, Thomas</t>
  </si>
  <si>
    <t>Radicevic, Igor</t>
  </si>
  <si>
    <t>Schmidts, Benjamin</t>
  </si>
  <si>
    <t>Stephani, Markus</t>
  </si>
  <si>
    <t>Strache, Michael</t>
  </si>
  <si>
    <t>Weinhold, Manuel</t>
  </si>
  <si>
    <t>Aschenwald, Roland</t>
  </si>
  <si>
    <t>BSV Olching</t>
  </si>
  <si>
    <t>Brückl, Heinz</t>
  </si>
  <si>
    <t>Cerreto, Francesco</t>
  </si>
  <si>
    <t>Eberle, Frank</t>
  </si>
  <si>
    <t>Ferlings, Holger</t>
  </si>
  <si>
    <t>Flieger, Mathias</t>
  </si>
  <si>
    <t>Franta, Reinhold</t>
  </si>
  <si>
    <t>Gemmeke, Ronald</t>
  </si>
  <si>
    <t>Grund, Dario</t>
  </si>
  <si>
    <t>Günzel, Alexander</t>
  </si>
  <si>
    <t>Haseneder, Sonja</t>
  </si>
  <si>
    <t>Hentschel, Horst</t>
  </si>
  <si>
    <t>Hering, Armin</t>
  </si>
  <si>
    <t>Hestner, Stephan</t>
  </si>
  <si>
    <t>Hoffmann, Andreas</t>
  </si>
  <si>
    <t>Kiener, Wolfgang</t>
  </si>
  <si>
    <t>König, Manfred</t>
  </si>
  <si>
    <t>Konrad, Michael</t>
  </si>
  <si>
    <t>Krsticevic, Vlatko</t>
  </si>
  <si>
    <t>Kunze, Christian</t>
  </si>
  <si>
    <t>Kysela, Franz</t>
  </si>
  <si>
    <t>Lauchner, Daniela</t>
  </si>
  <si>
    <t>Marshall, Mark John</t>
  </si>
  <si>
    <t>Neumaier, Hans</t>
  </si>
  <si>
    <t>Neumaier, Joachim</t>
  </si>
  <si>
    <t>Ott, Urban</t>
  </si>
  <si>
    <t>Otto, Ralf</t>
  </si>
  <si>
    <t>Rupp, Thomas</t>
  </si>
  <si>
    <t>Schlierf, Caro</t>
  </si>
  <si>
    <t>Umkehrer, Hans Karl</t>
  </si>
  <si>
    <t>Varga, Peter</t>
  </si>
  <si>
    <t>Wagner, Markus</t>
  </si>
  <si>
    <t>Wesner, Marc</t>
  </si>
  <si>
    <t>Adlag, Jan</t>
  </si>
  <si>
    <t>BSC Martinsried</t>
  </si>
  <si>
    <t>Bauer, Cemil</t>
  </si>
  <si>
    <t>Böhmer, Karl-Hans</t>
  </si>
  <si>
    <t>Bucerius, Barbara</t>
  </si>
  <si>
    <t>Caranica, Philipp</t>
  </si>
  <si>
    <t>Dammann, Werner sen.</t>
  </si>
  <si>
    <t>Demircan, Tarkan</t>
  </si>
  <si>
    <t>Dietrich, Etienne</t>
  </si>
  <si>
    <t>Dürrenberger, Robert</t>
  </si>
  <si>
    <t>Gebert, Jakob</t>
  </si>
  <si>
    <t>Gebert, Lisa</t>
  </si>
  <si>
    <t>Geiser, Sybille</t>
  </si>
  <si>
    <t>Gollowitsch, Thomas</t>
  </si>
  <si>
    <t>Gratzl, Florian</t>
  </si>
  <si>
    <t>Griebel, Gabriele</t>
  </si>
  <si>
    <t>Groll, Sebastian</t>
  </si>
  <si>
    <t>Hagl, Silvia</t>
  </si>
  <si>
    <t>Hailer, Sebastian</t>
  </si>
  <si>
    <t>Heckl, Angus</t>
  </si>
  <si>
    <t>Heckl, Kelly</t>
  </si>
  <si>
    <t>Heckl, Lothar</t>
  </si>
  <si>
    <t>Heim, Dajana</t>
  </si>
  <si>
    <t>Holub, Andreas</t>
  </si>
  <si>
    <t>Holzer, Emil</t>
  </si>
  <si>
    <t>Horche, Lutz</t>
  </si>
  <si>
    <t>Horche, Wolfgang, Dr.</t>
  </si>
  <si>
    <t>Kahn-Ackermann, Philipp</t>
  </si>
  <si>
    <t>Kaliscuk, Dragan</t>
  </si>
  <si>
    <t>Kalkan, Kadir</t>
  </si>
  <si>
    <t>Kässmeyer, Thomas</t>
  </si>
  <si>
    <t>Kolb, Christian</t>
  </si>
  <si>
    <t>Kornprobst, Patrick</t>
  </si>
  <si>
    <t>Köster-Gangkofer, Günter</t>
  </si>
  <si>
    <t>Kremser, Markus</t>
  </si>
  <si>
    <t>Neumeyer, Ralf</t>
  </si>
  <si>
    <t>Omranian, Darius</t>
  </si>
  <si>
    <t>Omranian, Mohammad</t>
  </si>
  <si>
    <t>Radvanyi, Manuel</t>
  </si>
  <si>
    <t>Raffelsbauer, Dominik</t>
  </si>
  <si>
    <t>Ranody, Peter</t>
  </si>
  <si>
    <t>Raskopoljac, Denis</t>
  </si>
  <si>
    <t>Rothenpieler, Katharina</t>
  </si>
  <si>
    <t>Sahanek, Markus</t>
  </si>
  <si>
    <t>Schmittner, Helmut</t>
  </si>
  <si>
    <t>Schöppl, Robert</t>
  </si>
  <si>
    <t>Schrogl, Nicki</t>
  </si>
  <si>
    <t>Schwenter, Tobias</t>
  </si>
  <si>
    <t>Seidl/C. Schorer, Raimund</t>
  </si>
  <si>
    <t>Sobocan, Stefan</t>
  </si>
  <si>
    <t>Sommer, Peer</t>
  </si>
  <si>
    <t>Vogel, Thorsten</t>
  </si>
  <si>
    <t>Vogt, Thomas</t>
  </si>
  <si>
    <t>Wanner, Florian</t>
  </si>
  <si>
    <t>Weber, Max</t>
  </si>
  <si>
    <t>Wuest, Beat</t>
  </si>
  <si>
    <t>Zwiesler, Jörg-Peter</t>
  </si>
  <si>
    <t>Allhoff, Michael</t>
  </si>
  <si>
    <t>Wolfratshausen</t>
  </si>
  <si>
    <t>Asenkerschbaumer, Thomas</t>
  </si>
  <si>
    <t>Freilinger, Richard</t>
  </si>
  <si>
    <t>Guttenberger, Armin</t>
  </si>
  <si>
    <t>Heuschel, Alexander</t>
  </si>
  <si>
    <t>Kalinis, Christos</t>
  </si>
  <si>
    <t>Kasch, Gernot</t>
  </si>
  <si>
    <t>Klostermaier, Josef</t>
  </si>
  <si>
    <t>Leininger, Michael</t>
  </si>
  <si>
    <t>Lüttich, Katharina</t>
  </si>
  <si>
    <t>Pröhl, Arndt</t>
  </si>
  <si>
    <t>Ritter, Michael</t>
  </si>
  <si>
    <t>Siller, Matthias</t>
  </si>
  <si>
    <t>Simon, Alexander</t>
  </si>
  <si>
    <t>Sliwowski, Christian</t>
  </si>
  <si>
    <t>Zaczyk, Wolfgang</t>
  </si>
  <si>
    <t>Albrecht, Ferdinand</t>
  </si>
  <si>
    <t>BSV Garmisch</t>
  </si>
  <si>
    <t>Eisenschink, Michael</t>
  </si>
  <si>
    <t>Haggenmüller, Markus</t>
  </si>
  <si>
    <t>Lang, Matthias</t>
  </si>
  <si>
    <t>Lazarov, Dusko</t>
  </si>
  <si>
    <t>Mühlstrasser, Manfred</t>
  </si>
  <si>
    <t>Nickl, Helmut</t>
  </si>
  <si>
    <t>Ostler, Markus</t>
  </si>
  <si>
    <t>Völkl, Rudolf</t>
  </si>
  <si>
    <t>Zwerger, Stefan</t>
  </si>
  <si>
    <t>Barth, Andreas</t>
  </si>
  <si>
    <t>BSV PB München</t>
  </si>
  <si>
    <t>Barth, Darinka</t>
  </si>
  <si>
    <t>Bernard, Josef</t>
  </si>
  <si>
    <t>Brunner, Alexandra-Tatjana</t>
  </si>
  <si>
    <t>Brunner, Anuschka-Susanne</t>
  </si>
  <si>
    <t>Brunner, Susanne</t>
  </si>
  <si>
    <t>Büttner, Susanne</t>
  </si>
  <si>
    <t>Callsen, Maximilian</t>
  </si>
  <si>
    <t>BED-Ber</t>
  </si>
  <si>
    <t>Beginn:</t>
  </si>
  <si>
    <t>Tischanzahl:</t>
  </si>
  <si>
    <t>Spiele gesamt:</t>
  </si>
  <si>
    <t>? Zeit pro Partie</t>
  </si>
  <si>
    <t>Turnierende ?</t>
  </si>
  <si>
    <t>VR1/GR1</t>
  </si>
  <si>
    <t>GR2/VR3</t>
  </si>
  <si>
    <t>GR3/VR5</t>
  </si>
  <si>
    <t>P-Ende</t>
  </si>
  <si>
    <t>P-Beginn</t>
  </si>
  <si>
    <t>Dauer</t>
  </si>
  <si>
    <t>Gr4/VR7</t>
  </si>
  <si>
    <t>Gr5/VR9</t>
  </si>
  <si>
    <t>Epple, Ralf</t>
  </si>
  <si>
    <t>Fischer, Wolfgang</t>
  </si>
  <si>
    <t>Forni, Aldo-Francesco</t>
  </si>
  <si>
    <t>Forni, Cesco</t>
  </si>
  <si>
    <t>Fürst, Bernhard</t>
  </si>
  <si>
    <t>Fuß, Christine</t>
  </si>
  <si>
    <t>Gütler, Zlatko</t>
  </si>
  <si>
    <t>Einloggen - "Spielbetrieb Verband" - "Ergebnisse Turnier" - Meisterschaft auswählen - "Spielergebnisse bearbeiten" -</t>
  </si>
  <si>
    <t>Teilnehmerliste dann kopieren und in markierten Bereich einfügen - wenn notwendig Verein ergänzen</t>
  </si>
  <si>
    <t>Schaltfläche "Spieler in Spielplan übernehmen" anwählen</t>
  </si>
  <si>
    <t>Spielernummer</t>
  </si>
  <si>
    <t>Vorname</t>
  </si>
  <si>
    <t>Nachname</t>
  </si>
  <si>
    <t>Vor1 Nach2</t>
  </si>
  <si>
    <t>Vor2 Nach3</t>
  </si>
  <si>
    <t>Vor3 Nach4</t>
  </si>
  <si>
    <t>Vor4 Nach5</t>
  </si>
  <si>
    <t>Vor5 Nach6</t>
  </si>
  <si>
    <t>Vor6 Nach7</t>
  </si>
  <si>
    <t>Vor7 Nach8</t>
  </si>
  <si>
    <t>Vor8 Nach9</t>
  </si>
  <si>
    <t>Vor9 Nach10</t>
  </si>
  <si>
    <t>Vor10 Nach11</t>
  </si>
  <si>
    <t>Vor11 Nach12</t>
  </si>
  <si>
    <t>Vor12 Nach13</t>
  </si>
  <si>
    <t>Vor13 Nach14</t>
  </si>
  <si>
    <t>Vor14 Nach15</t>
  </si>
  <si>
    <t>Vor15 Nach16</t>
  </si>
  <si>
    <t>Vor16 Nach17</t>
  </si>
  <si>
    <t>Vor17 Nach18</t>
  </si>
  <si>
    <t>Vor18 Nach19</t>
  </si>
  <si>
    <t>Vor19 Nach20</t>
  </si>
  <si>
    <t>Vor20 Nach21</t>
  </si>
  <si>
    <t>Vor21 Nach22</t>
  </si>
  <si>
    <t>Vor22 Nach23</t>
  </si>
  <si>
    <t>Vor23 Nach24</t>
  </si>
  <si>
    <t>Vor24 Nach25</t>
  </si>
  <si>
    <t>Vor25 Nach26</t>
  </si>
  <si>
    <t>Vor26 Nach27</t>
  </si>
  <si>
    <t>Vor27 Nach28</t>
  </si>
  <si>
    <t>Vor28 Nach29</t>
  </si>
  <si>
    <t>Vor29 Nach30</t>
  </si>
  <si>
    <t>Vor30 Nach31</t>
  </si>
  <si>
    <t>Vor31 Nach32</t>
  </si>
  <si>
    <t>Vor32 Nach33</t>
  </si>
  <si>
    <t>Vor33 Nach34</t>
  </si>
  <si>
    <t>Vor34 Nach35</t>
  </si>
  <si>
    <t>Vor35 Nach36</t>
  </si>
  <si>
    <t>Vor36 Nach37</t>
  </si>
  <si>
    <t>Vor37 Nach38</t>
  </si>
  <si>
    <t>Vor38 Nach39</t>
  </si>
  <si>
    <t>Vor39 Nach40</t>
  </si>
  <si>
    <t>Vor40 Nach41</t>
  </si>
  <si>
    <t>Vor41 Nach42</t>
  </si>
  <si>
    <t>Vor42 Nach43</t>
  </si>
  <si>
    <t>Vor43 Nach44</t>
  </si>
  <si>
    <t>Vor44 Nach45</t>
  </si>
  <si>
    <t>Vor45 Nach46</t>
  </si>
  <si>
    <t>Vor46 Nach47</t>
  </si>
  <si>
    <t>Vor47 Nach48</t>
  </si>
  <si>
    <t>Vor48 Nach49</t>
  </si>
  <si>
    <t>Vor49 Nach50</t>
  </si>
  <si>
    <t>Vor50 Nach51</t>
  </si>
  <si>
    <t>Vor51 Nach52</t>
  </si>
  <si>
    <t>Vor52 Nach53</t>
  </si>
  <si>
    <t>Vor53 Nach54</t>
  </si>
  <si>
    <t>Vor54 Nach55</t>
  </si>
  <si>
    <t>Vor55 Nach56</t>
  </si>
  <si>
    <t>Vor56 Nach57</t>
  </si>
  <si>
    <t>Vor57 Nach58</t>
  </si>
  <si>
    <t>Vor58 Nach59</t>
  </si>
  <si>
    <t>Vor59 Nach60</t>
  </si>
  <si>
    <t>Vor60 Nach61</t>
  </si>
  <si>
    <t>Vor61 Nach62</t>
  </si>
  <si>
    <t>Vor62 Nach63</t>
  </si>
  <si>
    <t>Vor63 Nach64</t>
  </si>
  <si>
    <t>Vor64 Nach65</t>
  </si>
  <si>
    <t>Bei Meisterschaften BBV, Verein, Mitliedernummer des Teilnehmers eingeben bzw aus BA-Teilnehmer übernehmen</t>
  </si>
  <si>
    <t>Verein1</t>
  </si>
  <si>
    <t>Verein2</t>
  </si>
  <si>
    <t>Verein3</t>
  </si>
  <si>
    <t>Verein4</t>
  </si>
  <si>
    <t>Verein5</t>
  </si>
  <si>
    <t>Verein6</t>
  </si>
  <si>
    <t>Verein7</t>
  </si>
  <si>
    <t>Verein8</t>
  </si>
  <si>
    <t>Verein9</t>
  </si>
  <si>
    <t>Verein10</t>
  </si>
  <si>
    <t>Verein11</t>
  </si>
  <si>
    <t>Verein12</t>
  </si>
  <si>
    <t>Verein13</t>
  </si>
  <si>
    <t>Verein14</t>
  </si>
  <si>
    <t>Verein15</t>
  </si>
  <si>
    <t>Verein16</t>
  </si>
  <si>
    <t>Verein17</t>
  </si>
  <si>
    <t>Verein18</t>
  </si>
  <si>
    <t>Verein19</t>
  </si>
  <si>
    <t>Verein20</t>
  </si>
  <si>
    <t>Verein21</t>
  </si>
  <si>
    <t>Verein22</t>
  </si>
  <si>
    <t>Verein23</t>
  </si>
  <si>
    <t>Verein24</t>
  </si>
  <si>
    <t>Verein25</t>
  </si>
  <si>
    <t>Verein26</t>
  </si>
  <si>
    <t>Verein27</t>
  </si>
  <si>
    <t>Verein28</t>
  </si>
  <si>
    <t>Verein29</t>
  </si>
  <si>
    <t>Verein30</t>
  </si>
  <si>
    <t>Verein31</t>
  </si>
  <si>
    <t>Verein32</t>
  </si>
  <si>
    <t>Verein33</t>
  </si>
  <si>
    <t>Verein34</t>
  </si>
  <si>
    <t>Verein35</t>
  </si>
  <si>
    <t>Verein36</t>
  </si>
  <si>
    <t>Verein37</t>
  </si>
  <si>
    <t>Verein38</t>
  </si>
  <si>
    <t>Verein39</t>
  </si>
  <si>
    <t>Verein40</t>
  </si>
  <si>
    <t>Verein41</t>
  </si>
  <si>
    <t>Verein42</t>
  </si>
  <si>
    <t>Verein43</t>
  </si>
  <si>
    <t>Verein44</t>
  </si>
  <si>
    <t>Verein45</t>
  </si>
  <si>
    <t>Verein46</t>
  </si>
  <si>
    <t>Verein47</t>
  </si>
  <si>
    <t>Verein48</t>
  </si>
  <si>
    <t>Verein49</t>
  </si>
  <si>
    <t>Verein50</t>
  </si>
  <si>
    <t>Verein51</t>
  </si>
  <si>
    <t>Verein52</t>
  </si>
  <si>
    <t>Verein53</t>
  </si>
  <si>
    <t>Verein54</t>
  </si>
  <si>
    <t>Verein55</t>
  </si>
  <si>
    <t>Verein56</t>
  </si>
  <si>
    <t>Verein57</t>
  </si>
  <si>
    <t>Verein58</t>
  </si>
  <si>
    <t>Verein59</t>
  </si>
  <si>
    <t>Verein60</t>
  </si>
  <si>
    <t>Verein61</t>
  </si>
  <si>
    <t>Verein62</t>
  </si>
  <si>
    <t>Verein63</t>
  </si>
  <si>
    <t>Verein64</t>
  </si>
  <si>
    <t>Mg.Nr.</t>
  </si>
  <si>
    <t>Hrustanbegovic, Armin</t>
  </si>
  <si>
    <t>Junick, Peter</t>
  </si>
  <si>
    <t>Kieser, Oliver</t>
  </si>
  <si>
    <t>Kirnberger, Marcus</t>
  </si>
  <si>
    <t>Kisslinger, Dieter</t>
  </si>
  <si>
    <t>La Chiusa, Martina</t>
  </si>
  <si>
    <t>Markou, Dimitrios</t>
  </si>
  <si>
    <t>Mitsch, Peter</t>
  </si>
  <si>
    <t>Mros, Enrico</t>
  </si>
  <si>
    <t>Petresin, Sascha</t>
  </si>
  <si>
    <t>Schlüter, Axel</t>
  </si>
  <si>
    <t>Seidel, Dirk</t>
  </si>
  <si>
    <t>Seifert, Michael</t>
  </si>
  <si>
    <t>Stepanik, Michael</t>
  </si>
  <si>
    <t>Taglauer, Klaus</t>
  </si>
  <si>
    <t>Taglauer, Robert</t>
  </si>
  <si>
    <t>Weickelt, Alexander</t>
  </si>
  <si>
    <t>Yilmaz, Gürhan</t>
  </si>
  <si>
    <t>Draga, Alexander</t>
  </si>
  <si>
    <t>1.PBC Memmingen</t>
  </si>
  <si>
    <t>Fäßler, Martin</t>
  </si>
  <si>
    <t>Fuchs, Joachim</t>
  </si>
  <si>
    <t>Gebauer, Stefan</t>
  </si>
  <si>
    <t>Hoffmann, Hubert</t>
  </si>
  <si>
    <t>Kaiser, Herbert</t>
  </si>
  <si>
    <t>Karg, Günther</t>
  </si>
  <si>
    <t>Klesper, Peter</t>
  </si>
  <si>
    <t>Kohlmayer, Harald</t>
  </si>
  <si>
    <t>Köllner, Reiner</t>
  </si>
  <si>
    <t>Körper, Sonja</t>
  </si>
  <si>
    <t>Lietz, Frank</t>
  </si>
  <si>
    <t>Lingner, Helmut</t>
  </si>
  <si>
    <t>Ludwig, Oliver</t>
  </si>
  <si>
    <t>Machacek, Jan</t>
  </si>
  <si>
    <t>Mader, Heinz</t>
  </si>
  <si>
    <t>Münsch, Egon</t>
  </si>
  <si>
    <t>Nausch, Wolf-Dieter</t>
  </si>
  <si>
    <t>Röck, Markus</t>
  </si>
  <si>
    <t>Roth, Fabrice</t>
  </si>
  <si>
    <t>Savran, Kemal</t>
  </si>
  <si>
    <t>Schmidt, Volker</t>
  </si>
  <si>
    <t>Schwob, Norbert</t>
  </si>
  <si>
    <t>Seise, Daniela</t>
  </si>
  <si>
    <t>Spitzer, Christian</t>
  </si>
  <si>
    <t>Stepins, Michael</t>
  </si>
  <si>
    <t>Stöhr, Siegfried</t>
  </si>
  <si>
    <t>Tütem, Markus</t>
  </si>
  <si>
    <t>Ullmann, Rainer</t>
  </si>
  <si>
    <t>Von der Ruhr, Josef</t>
  </si>
  <si>
    <t>Zanker, Michael</t>
  </si>
  <si>
    <t>Aschner, Daniel</t>
  </si>
  <si>
    <t>PBC Mindelheim</t>
  </si>
  <si>
    <t>Bartenschlager, Jakob</t>
  </si>
  <si>
    <t>Bock, Jürgen</t>
  </si>
  <si>
    <t>Bühler, Thomas</t>
  </si>
  <si>
    <t>Darabos, Sascha</t>
  </si>
  <si>
    <t>Daufratshofer, Christian</t>
  </si>
  <si>
    <t>Engel, Christian</t>
  </si>
  <si>
    <t>Eroglu, Soner</t>
  </si>
  <si>
    <t>Foschiatti, Sirikit</t>
  </si>
  <si>
    <t>Gebert, Manfred</t>
  </si>
  <si>
    <t>Gräsel, Tobias</t>
  </si>
  <si>
    <t>Hellwagner, Thomas</t>
  </si>
  <si>
    <t>Hetzl, Franz</t>
  </si>
  <si>
    <t>Hirn, Roman</t>
  </si>
  <si>
    <t>Hühnerfürst, Walter</t>
  </si>
  <si>
    <t>Immerz, Günther</t>
  </si>
  <si>
    <t>Kerler, Tim</t>
  </si>
  <si>
    <t>Klenner, Peter</t>
  </si>
  <si>
    <t>Kuhn, Dominik</t>
  </si>
  <si>
    <t>Linzer, Wilhelm</t>
  </si>
  <si>
    <t>Mayer, Wolfgang</t>
  </si>
  <si>
    <t>Nägele, Franz</t>
  </si>
  <si>
    <t>Nuscheler, Stefan</t>
  </si>
  <si>
    <t>Plaza, Martin</t>
  </si>
  <si>
    <t>Prüschenk, Thomas</t>
  </si>
  <si>
    <t>Renner, Jörg</t>
  </si>
  <si>
    <t>Riedmaier, Florian</t>
  </si>
  <si>
    <t>Ritter, Klaus</t>
  </si>
  <si>
    <t>Rogg, Christian</t>
  </si>
  <si>
    <t>Rogg, Hubert</t>
  </si>
  <si>
    <t>Rosenberg, Andreas</t>
  </si>
  <si>
    <t>Rosenberg, Bernd</t>
  </si>
  <si>
    <t>Salger, Johannes</t>
  </si>
  <si>
    <t>Schmid, Andreas</t>
  </si>
  <si>
    <t>Schmid, Raoul</t>
  </si>
  <si>
    <t>Schomanek, Florian</t>
  </si>
  <si>
    <t>Specht, Walter</t>
  </si>
  <si>
    <t>Stanzel, Mario</t>
  </si>
  <si>
    <t>Strübel, Peter</t>
  </si>
  <si>
    <t>Strunz, Hans-Jürgen</t>
  </si>
  <si>
    <t>Vogler, Markus</t>
  </si>
  <si>
    <t>Wittmann, Helmut</t>
  </si>
  <si>
    <t>Yildirim, Hasan</t>
  </si>
  <si>
    <t>Amann, Thomas</t>
  </si>
  <si>
    <t>1.PBC Sonthofen</t>
  </si>
  <si>
    <t>Amann, Toni</t>
  </si>
  <si>
    <t>Baude, Mario</t>
  </si>
  <si>
    <t>Baumgärtner, Sandor</t>
  </si>
  <si>
    <t>Berktold, Joachim</t>
  </si>
  <si>
    <t>Bietsch, Alexander</t>
  </si>
  <si>
    <t>Boxler, Martin</t>
  </si>
  <si>
    <t>Braun, Alexander</t>
  </si>
  <si>
    <t>Bucher, Thomas</t>
  </si>
  <si>
    <t>Buhl, Tobias</t>
  </si>
  <si>
    <t>Denz, Hubert</t>
  </si>
  <si>
    <t>Dürr, Uwe</t>
  </si>
  <si>
    <t>Eckel, Peter</t>
  </si>
  <si>
    <t>Egger, Bernd</t>
  </si>
  <si>
    <t>Egger, Dietmar</t>
  </si>
  <si>
    <t>Tischdefinition</t>
  </si>
  <si>
    <t>Egger, Edmund</t>
  </si>
  <si>
    <t>Egger, Gabriele</t>
  </si>
  <si>
    <t>Ehrle, Roland</t>
  </si>
  <si>
    <t>Fischer, Manfred</t>
  </si>
  <si>
    <t>Florek, Klaus</t>
  </si>
  <si>
    <t>Fontain, Marcel</t>
  </si>
  <si>
    <t>Fontain, Robert</t>
  </si>
  <si>
    <t>Freiwald, Ingrid</t>
  </si>
  <si>
    <t>Freiwald, Stefan</t>
  </si>
  <si>
    <t>Frisch, Wolfgang</t>
  </si>
  <si>
    <t>Fuhrmann, Roland</t>
  </si>
  <si>
    <t>Glas, Birgit</t>
  </si>
  <si>
    <t>Haber, Roland</t>
  </si>
  <si>
    <t>Halang, Günther</t>
  </si>
  <si>
    <t>Happach, Bernd</t>
  </si>
  <si>
    <t>Haug, Rupert</t>
  </si>
  <si>
    <t>Hehl, Reinhold</t>
  </si>
  <si>
    <t>Höchenberger, Rudolf</t>
  </si>
  <si>
    <t>Immler, Ludwig</t>
  </si>
  <si>
    <t>Jahnke, Felix</t>
  </si>
  <si>
    <t>Jordan, Markus</t>
  </si>
  <si>
    <t>Kellenberger, Stefan</t>
  </si>
  <si>
    <t>Klages, Dirk</t>
  </si>
  <si>
    <t>Klein, Roland</t>
  </si>
  <si>
    <t>Knapp, Alexander</t>
  </si>
  <si>
    <t>Köhler, Roland</t>
  </si>
  <si>
    <t>Kopf, Walter</t>
  </si>
  <si>
    <t>Kramm, Jochen</t>
  </si>
  <si>
    <t>Krause, Gerhard</t>
  </si>
  <si>
    <t>Kröcker, Katharina</t>
  </si>
  <si>
    <t>Kuisle, Herbert</t>
  </si>
  <si>
    <t>Lechl, Helga</t>
  </si>
  <si>
    <t>Mayer, Hans</t>
  </si>
  <si>
    <t>Müller, Hans-Jörg</t>
  </si>
  <si>
    <t>Neubert, Axel</t>
  </si>
  <si>
    <t>Osswald, Oliver</t>
  </si>
  <si>
    <t>Ottenbreit, Karl-Heinz</t>
  </si>
  <si>
    <t>Perzing, Harald</t>
  </si>
  <si>
    <t>Plötz, Andreas</t>
  </si>
  <si>
    <t>Regensburger, Sascha</t>
  </si>
  <si>
    <t>Riedel, Horst</t>
  </si>
  <si>
    <t>Riedel, Reinhard</t>
  </si>
  <si>
    <t>Roth, Walter</t>
  </si>
  <si>
    <t>Rusch, Herbert</t>
  </si>
  <si>
    <t>Schlachter, Matthias</t>
  </si>
  <si>
    <t>Schönwald, Robert</t>
  </si>
  <si>
    <t>Schrage, Werner</t>
  </si>
  <si>
    <t>Sedlmeier, Robert</t>
  </si>
  <si>
    <t>Sobolowski, Michael</t>
  </si>
  <si>
    <t>Sonntag, Wilfried</t>
  </si>
  <si>
    <t>Sprinkart, Peter</t>
  </si>
  <si>
    <t>Steiner, Wolfgang</t>
  </si>
  <si>
    <t>Stengel, Christian</t>
  </si>
  <si>
    <t>Stich, Dieter</t>
  </si>
  <si>
    <t>Stierle, Jakob</t>
  </si>
  <si>
    <t>Stöhr, Alexander</t>
  </si>
  <si>
    <t>Westermair, Dieter</t>
  </si>
  <si>
    <t>Wiblishauser, Fabian</t>
  </si>
  <si>
    <t>Wiblishauser, Marc</t>
  </si>
  <si>
    <t>Will, Rüdiger</t>
  </si>
  <si>
    <t>Wimmer, Karl-Heinz</t>
  </si>
  <si>
    <t>Wundrak, Horst</t>
  </si>
  <si>
    <t>Zeller, Ludwig</t>
  </si>
  <si>
    <t>Zint, Bernhard</t>
  </si>
  <si>
    <t>Zint, Jürgen</t>
  </si>
  <si>
    <t>Adler, Andre</t>
  </si>
  <si>
    <t>Fort. Sonthofen</t>
  </si>
  <si>
    <t>Adler, Pascal</t>
  </si>
  <si>
    <t>Bambach, Burkhard</t>
  </si>
  <si>
    <t>Binde, Christian</t>
  </si>
  <si>
    <t>Binde, Frank</t>
  </si>
  <si>
    <t>Binde, Sebastian</t>
  </si>
  <si>
    <t>Canosa, Tomaso</t>
  </si>
  <si>
    <t>Cecco, Michael</t>
  </si>
  <si>
    <t>Conradi, Patrick</t>
  </si>
  <si>
    <t>Dolp, Alfred</t>
  </si>
  <si>
    <t>Eder, Mario</t>
  </si>
  <si>
    <t>Eder, Roland</t>
  </si>
  <si>
    <t>Eggenfurtner, Christian</t>
  </si>
  <si>
    <t>Funke, Jürgen</t>
  </si>
  <si>
    <t>Gabriel, Josef</t>
  </si>
  <si>
    <t>Grütz, Reinhard</t>
  </si>
  <si>
    <t>Günzler, Mario</t>
  </si>
  <si>
    <t>Hiltner, Ludwig</t>
  </si>
  <si>
    <t>Hofmann, Brigitte</t>
  </si>
  <si>
    <t>Hofmann, Daniela</t>
  </si>
  <si>
    <t>Hofmann, Reiner</t>
  </si>
  <si>
    <t>Jörg, Martin</t>
  </si>
  <si>
    <t>Kabitz, Dieter</t>
  </si>
  <si>
    <t>Krabiell, Hans-Jürgen</t>
  </si>
  <si>
    <t>Kromer, Gerald</t>
  </si>
  <si>
    <t>Mannefeld, Uwe</t>
  </si>
  <si>
    <t>Mütsch, Andreas</t>
  </si>
  <si>
    <t>Oehme, Claus</t>
  </si>
  <si>
    <t>Rapp, Roland</t>
  </si>
  <si>
    <t>Salfermoser, Christian</t>
  </si>
  <si>
    <t>Scheuermann, Franz</t>
  </si>
  <si>
    <t>Schmucker, Josef jun.</t>
  </si>
  <si>
    <t>Schönmetzler, Mehmet</t>
  </si>
  <si>
    <t>Sontheim, Thomas</t>
  </si>
  <si>
    <t>Sterzer, Lydia</t>
  </si>
  <si>
    <t>Strobel, Brigitte</t>
  </si>
  <si>
    <t>Terbeck, Monika</t>
  </si>
  <si>
    <t>Terbeck, Wenz</t>
  </si>
  <si>
    <t>Terbeck, Willi</t>
  </si>
  <si>
    <t>Tutas, Cornelia</t>
  </si>
  <si>
    <t>Voigt, Andreas</t>
  </si>
  <si>
    <t>Bartl, Severin</t>
  </si>
  <si>
    <t>1.BC Landsberg</t>
  </si>
  <si>
    <t>Bartl, Theresa</t>
  </si>
  <si>
    <t>Böhnel, Jörg</t>
  </si>
  <si>
    <t>Bothe, Marco</t>
  </si>
  <si>
    <t>Dallmair, Simon</t>
  </si>
  <si>
    <t>Dusch, Alexander</t>
  </si>
  <si>
    <t>Eder, Bernd</t>
  </si>
  <si>
    <t>Ehmann, Thomas</t>
  </si>
  <si>
    <t>Engelhardt, Alexander</t>
  </si>
  <si>
    <t>Ernst, Alexander</t>
  </si>
  <si>
    <t>Ernst, Axel</t>
  </si>
  <si>
    <t>Fabian, Christian</t>
  </si>
  <si>
    <t>Flügge, Heiko</t>
  </si>
  <si>
    <t>Fromm, Christian</t>
  </si>
  <si>
    <t>Gille, Dieter</t>
  </si>
  <si>
    <t>Göbel, Christian</t>
  </si>
  <si>
    <t>Hans, Sebastian</t>
  </si>
  <si>
    <t>Herold, Michaela</t>
  </si>
  <si>
    <t>Hertel, Oliver</t>
  </si>
  <si>
    <t>Hirschauer, Richard</t>
  </si>
  <si>
    <t>Horber, Jürgen</t>
  </si>
  <si>
    <t>Jodeit, Günter</t>
  </si>
  <si>
    <t>Kesseler, Jürgen</t>
  </si>
  <si>
    <t>Klatz-Schmuck, Urte</t>
  </si>
  <si>
    <t>Klingl, Dieter</t>
  </si>
  <si>
    <t>Krauß, Martin</t>
  </si>
  <si>
    <t>Kunesch, Richart</t>
  </si>
  <si>
    <t>Leydolph, Alexander</t>
  </si>
  <si>
    <t>Marquardt, Robert</t>
  </si>
  <si>
    <t>Naßl, Theresa</t>
  </si>
  <si>
    <t>Nüß, Gabriel</t>
  </si>
  <si>
    <t>Oßdorf, Sascha</t>
  </si>
  <si>
    <t>Otto, Christian</t>
  </si>
  <si>
    <t>Rauchert, Andreas</t>
  </si>
  <si>
    <t>Scheller, Ruth</t>
  </si>
  <si>
    <t>Schmenner, Frank</t>
  </si>
  <si>
    <t>Schnagl, Robert</t>
  </si>
  <si>
    <t>Schwarz, Gabriele</t>
  </si>
  <si>
    <t>Solygan, Bernhard</t>
  </si>
  <si>
    <t>Solygan, Niclas</t>
  </si>
  <si>
    <t>Solygan, Peter</t>
  </si>
  <si>
    <t>Wagner, Stephan</t>
  </si>
  <si>
    <t>Wappler, Tim</t>
  </si>
  <si>
    <t>Wunderlich, Klaus</t>
  </si>
  <si>
    <t>Wunderlich, Lars</t>
  </si>
  <si>
    <t>Ade, Roman</t>
  </si>
  <si>
    <t>PSC Kaufbeuren</t>
  </si>
  <si>
    <t>Aktürk, Ufak</t>
  </si>
  <si>
    <t>Aktürk, Ugur</t>
  </si>
  <si>
    <t>Atikan, Cengiz</t>
  </si>
  <si>
    <t>Aydogdu, Ibrahim</t>
  </si>
  <si>
    <t>Bendfeldt, Mario</t>
  </si>
  <si>
    <t>Blob, Matthias</t>
  </si>
  <si>
    <t>Bubenik, Stefanie</t>
  </si>
  <si>
    <t>Coskun, Osman</t>
  </si>
  <si>
    <t>Djukic, Goran</t>
  </si>
  <si>
    <t>Göppel, Thomas</t>
  </si>
  <si>
    <t>Kahmann, Hans-Peter</t>
  </si>
  <si>
    <t>Karakaya, Oktay</t>
  </si>
  <si>
    <t>Köse, Ibrahim</t>
  </si>
  <si>
    <t>Leitner, Andreas</t>
  </si>
  <si>
    <t>Leitner, Waldemar</t>
  </si>
  <si>
    <t>Ludwig, Peter</t>
  </si>
  <si>
    <t>Melchior, Horst</t>
  </si>
  <si>
    <t>Morbarigazzi, Gianfranco</t>
  </si>
  <si>
    <t>Morbarigazzi, Giuliano</t>
  </si>
  <si>
    <t>Morbarigazzi, Monika</t>
  </si>
  <si>
    <t>Morbarigazzi, Sabrina</t>
  </si>
  <si>
    <t>Morbarigazzi, Simona</t>
  </si>
  <si>
    <t>Morbarigazzi, Susanne</t>
  </si>
  <si>
    <t>Nebel, Stefan</t>
  </si>
  <si>
    <t>Nier, Dirk</t>
  </si>
  <si>
    <t>Nocker, Alexander</t>
  </si>
  <si>
    <t>Ortmann, Carsten</t>
  </si>
  <si>
    <t>Ötzel, Burak</t>
  </si>
  <si>
    <t>Padula, Giancarlo</t>
  </si>
  <si>
    <t>Paulweber, Andreas</t>
  </si>
  <si>
    <t>Riso in Djukic, Silvana</t>
  </si>
  <si>
    <t>Rothärmel-Weser, Georg</t>
  </si>
  <si>
    <t>Schermann, Richard</t>
  </si>
  <si>
    <t>Schmid, Christian</t>
  </si>
  <si>
    <t>Schöpf, Daniel</t>
  </si>
  <si>
    <t>Schreyer, Claudia</t>
  </si>
  <si>
    <t>Stahl, Michael</t>
  </si>
  <si>
    <t>Stuber, Bernd</t>
  </si>
  <si>
    <t>Stumpf, Lothar</t>
  </si>
  <si>
    <t>Syla, Besart</t>
  </si>
  <si>
    <t>Syla, Burim</t>
  </si>
  <si>
    <t>Tulach, Timm</t>
  </si>
  <si>
    <t>Velde, Dimi</t>
  </si>
  <si>
    <t>Velde, Sergej</t>
  </si>
  <si>
    <t>Weiss, Jürgen</t>
  </si>
  <si>
    <t>Albert, Gerald</t>
  </si>
  <si>
    <t>Schwabmünchen</t>
  </si>
  <si>
    <t>Bravi, Tobias</t>
  </si>
  <si>
    <t>Engelhart, Michael</t>
  </si>
  <si>
    <t>Geirhos, Peter</t>
  </si>
  <si>
    <t>Hieber, Markus</t>
  </si>
  <si>
    <t>Kodella, Ernst</t>
  </si>
  <si>
    <t>Kugelmann, Roland</t>
  </si>
  <si>
    <t>Kuhfittig, Christian</t>
  </si>
  <si>
    <t>Müller, Matthias</t>
  </si>
  <si>
    <t>Nigmann, Björn</t>
  </si>
  <si>
    <t>Ostermeier, Alexander</t>
  </si>
  <si>
    <t>Peller, Robert</t>
  </si>
  <si>
    <t>Rindle, Markus</t>
  </si>
  <si>
    <t>Schönbeck, Benjamin</t>
  </si>
  <si>
    <t>Siebeneicher, Thomas</t>
  </si>
  <si>
    <t>Sieber, Bernd</t>
  </si>
  <si>
    <t>Stichler, Martin</t>
  </si>
  <si>
    <t>Weber, Anton</t>
  </si>
  <si>
    <t>Werner, David</t>
  </si>
  <si>
    <t>Zech, Simon</t>
  </si>
  <si>
    <t>Betz, Holger</t>
  </si>
  <si>
    <t>Untermeitingen</t>
  </si>
  <si>
    <t>Deißer, Markus</t>
  </si>
  <si>
    <t>Sieger aus 125 muß</t>
  </si>
  <si>
    <t>Pl. 49-64</t>
  </si>
  <si>
    <t>Pl. 33-48</t>
  </si>
  <si>
    <t>Pl. 25-32</t>
  </si>
  <si>
    <t>Pl. 17-24</t>
  </si>
  <si>
    <t>Pl. 13-16</t>
  </si>
  <si>
    <t>Pl. 9-12</t>
  </si>
  <si>
    <t>Pl. 7-8</t>
  </si>
  <si>
    <t>Pl. 5-6</t>
  </si>
  <si>
    <t>Pl. 4</t>
  </si>
  <si>
    <t>Pl. 3</t>
  </si>
  <si>
    <t>Sieger aus 125 muß 2 x gewinnen</t>
  </si>
  <si>
    <t>Dietrich, Holger</t>
  </si>
  <si>
    <t>Durner, Roland</t>
  </si>
  <si>
    <t>Groß, Michael</t>
  </si>
  <si>
    <t>Haager, Wolfgang</t>
  </si>
  <si>
    <t>Hoffmann, Stefan</t>
  </si>
  <si>
    <t>Krause, Andreas</t>
  </si>
  <si>
    <t>Pitschi, Andreas</t>
  </si>
  <si>
    <t>Pommer, Lutz</t>
  </si>
  <si>
    <t>Scherer, Robert</t>
  </si>
  <si>
    <t>Simmler, Kathrin</t>
  </si>
  <si>
    <t>Teich, Martin</t>
  </si>
  <si>
    <t>Arbter, Sylvia</t>
  </si>
  <si>
    <t>BC Krumbach</t>
  </si>
  <si>
    <t>Bail, Reinhard</t>
  </si>
  <si>
    <t>Becker, Michael</t>
  </si>
  <si>
    <t>Behrndt, Betina</t>
  </si>
  <si>
    <t>Bergmann, Jürgen</t>
  </si>
  <si>
    <t>Bilanovic, Goran</t>
  </si>
  <si>
    <t>Briegl, Michael</t>
  </si>
  <si>
    <t>Elsner, Angelika</t>
  </si>
  <si>
    <t>Göbel, Ernst</t>
  </si>
  <si>
    <t>Hammerschmidt, Jürgen</t>
  </si>
  <si>
    <t>Kling, Steffen</t>
  </si>
  <si>
    <t>Kling, Werner</t>
  </si>
  <si>
    <t>Knoll, Gerhard</t>
  </si>
  <si>
    <t>Knoll, Josef</t>
  </si>
  <si>
    <t>Knoll, Manuel</t>
  </si>
  <si>
    <t>Krech, Helmut</t>
  </si>
  <si>
    <t>Kusche, Werner</t>
  </si>
  <si>
    <t>Litke, Reiner</t>
  </si>
  <si>
    <t>Lötterle, Andreas</t>
  </si>
  <si>
    <t>Miller, Alexander</t>
  </si>
  <si>
    <t>Mohr, Dieter</t>
  </si>
  <si>
    <t>Moron, Anton</t>
  </si>
  <si>
    <t>Schmid, Carmen</t>
  </si>
  <si>
    <t>Sperlich, Alexander</t>
  </si>
  <si>
    <t>Sperlich, Stefanie</t>
  </si>
  <si>
    <t>Streicher, Christian</t>
  </si>
  <si>
    <t>Weiss, Marcus</t>
  </si>
  <si>
    <t>Winter, Wolfgang</t>
  </si>
  <si>
    <t>Capellino, Daniel</t>
  </si>
  <si>
    <t>PC Kempten</t>
  </si>
  <si>
    <t>Damm, Reiner</t>
  </si>
  <si>
    <t>Deledda, Sylvia</t>
  </si>
  <si>
    <t>Dolp, Frederic</t>
  </si>
  <si>
    <t>Dreyer, Ludwig</t>
  </si>
  <si>
    <t>Geist, Gerhard</t>
  </si>
  <si>
    <t>Gerngroß, Mark</t>
  </si>
  <si>
    <t>Gigel, Stefan</t>
  </si>
  <si>
    <t>Göttlicher, Christoph</t>
  </si>
  <si>
    <t>Gözen, Semsi</t>
  </si>
  <si>
    <t>Greither, Simone</t>
  </si>
  <si>
    <t>Grimbs, Nicole</t>
  </si>
  <si>
    <t>Grimbs, Stefan</t>
  </si>
  <si>
    <t>Hamatschek, Gregor</t>
  </si>
  <si>
    <t>Hill, Andrea</t>
  </si>
  <si>
    <t>Hill, Thomas</t>
  </si>
  <si>
    <t>Hörburger, Eduard</t>
  </si>
  <si>
    <t>Hull, Kevin</t>
  </si>
  <si>
    <t>Jünger, Jochen</t>
  </si>
  <si>
    <t>Ketterle, Kevin</t>
  </si>
  <si>
    <t>Kettner, André</t>
  </si>
  <si>
    <t>Kirchmaier, Alexander</t>
  </si>
  <si>
    <t>Mather, Merv</t>
  </si>
  <si>
    <t>Mayr, Michael</t>
  </si>
  <si>
    <t>Mayr, Thomas</t>
  </si>
  <si>
    <t>Merk, Maximilian</t>
  </si>
  <si>
    <t>Mitzinger, Ralf</t>
  </si>
  <si>
    <t>Moller, Jan</t>
  </si>
  <si>
    <t>Nebling, Marcel</t>
  </si>
  <si>
    <t>Neugart, Hans</t>
  </si>
  <si>
    <t>Paci, Marcel</t>
  </si>
  <si>
    <t>Peinze, Lina</t>
  </si>
  <si>
    <t>Pientka, Oliver</t>
  </si>
  <si>
    <t>Ramalho, Aguinaldo</t>
  </si>
  <si>
    <t>Ricker, Michael</t>
  </si>
  <si>
    <t>Salmen, Holger</t>
  </si>
  <si>
    <t>Schneider, Alexander</t>
  </si>
  <si>
    <t>Schuster, Peter</t>
  </si>
  <si>
    <t>Stimmer, Wolfgang</t>
  </si>
  <si>
    <t>Strunz, Katja</t>
  </si>
  <si>
    <t>Sultanow, Peter</t>
  </si>
  <si>
    <t>Teichert, Andreas</t>
  </si>
  <si>
    <t>Wiesbeck, Hans</t>
  </si>
  <si>
    <t>Winterholler, Hans</t>
  </si>
  <si>
    <t>Ambros, Elmar</t>
  </si>
  <si>
    <t>BSC Füssen</t>
  </si>
  <si>
    <t>Aschner, Mirjam</t>
  </si>
  <si>
    <t>Atan, Bahattin</t>
  </si>
  <si>
    <t>Besuch, Herbert</t>
  </si>
  <si>
    <t>Blender, Wolfgang</t>
  </si>
  <si>
    <t>Bochenska, Anja</t>
  </si>
  <si>
    <t>Brutscher, Stefan</t>
  </si>
  <si>
    <t>Carl, Werner</t>
  </si>
  <si>
    <t>Einsle, Patrick</t>
  </si>
  <si>
    <t>Einsle, Ralf</t>
  </si>
  <si>
    <t>Fleckenstein, Florian</t>
  </si>
  <si>
    <t>Fröhlich, Ulrike</t>
  </si>
  <si>
    <t>Fux, Thomas</t>
  </si>
  <si>
    <t>Ginter, Holger</t>
  </si>
  <si>
    <t>Habersetzer, Werner</t>
  </si>
  <si>
    <t>Haf, Christian</t>
  </si>
  <si>
    <t>Häfele, Manuel</t>
  </si>
  <si>
    <t>Harzer, Tristan</t>
  </si>
  <si>
    <t>Hergarten, Dietmar</t>
  </si>
  <si>
    <t>Hergarten, Gerd</t>
  </si>
  <si>
    <t>Herkommer, Ralf</t>
  </si>
  <si>
    <t>Heumann, Werner</t>
  </si>
  <si>
    <t>Hildebrandt, Stefan</t>
  </si>
  <si>
    <t>Höbel, Roman Franz</t>
  </si>
  <si>
    <t>Holland, Steven</t>
  </si>
  <si>
    <t>Kerber, Andreas</t>
  </si>
  <si>
    <t>Kloppenburg, Max</t>
  </si>
  <si>
    <t>Knop, Rene</t>
  </si>
  <si>
    <t>Ladwig, Bernd</t>
  </si>
  <si>
    <t>Leiterer, Ramona</t>
  </si>
  <si>
    <t>Lemmerz, Rainer</t>
  </si>
  <si>
    <t>Linckh, Stefan</t>
  </si>
  <si>
    <t>Lißmann, Gerald</t>
  </si>
  <si>
    <t>Lohse, Andrè</t>
  </si>
  <si>
    <t>Lukes, Manuel</t>
  </si>
  <si>
    <t>May, Thomas</t>
  </si>
  <si>
    <t>Suchan, Kurt</t>
  </si>
  <si>
    <t>Bedienungsanleitung des Spielplans:</t>
  </si>
  <si>
    <t>Tabelle siehe Tabelle</t>
  </si>
  <si>
    <t>Name, Vorname</t>
  </si>
  <si>
    <t>Verein</t>
  </si>
  <si>
    <t>Vereinsnr.</t>
  </si>
  <si>
    <t>PZ</t>
  </si>
  <si>
    <t>Verein_Nr</t>
  </si>
  <si>
    <t>Lfd_Nr</t>
  </si>
  <si>
    <t>Punkte</t>
  </si>
  <si>
    <t>GP</t>
  </si>
  <si>
    <t>VP</t>
  </si>
  <si>
    <t>Tln1</t>
  </si>
  <si>
    <t>Tln2</t>
  </si>
  <si>
    <t>Sp1</t>
  </si>
  <si>
    <t>Sp2</t>
  </si>
  <si>
    <t>Auf1</t>
  </si>
  <si>
    <t>Auf2</t>
  </si>
  <si>
    <t>HS1</t>
  </si>
  <si>
    <t>HS2</t>
  </si>
  <si>
    <t>Ges</t>
  </si>
  <si>
    <t>A1g</t>
  </si>
  <si>
    <t>A2g</t>
  </si>
  <si>
    <t>A1+</t>
  </si>
  <si>
    <t>A2+</t>
  </si>
  <si>
    <t>P1</t>
  </si>
  <si>
    <t>P2</t>
  </si>
  <si>
    <t>Nr</t>
  </si>
  <si>
    <t>Name</t>
  </si>
  <si>
    <t>Pkt</t>
  </si>
  <si>
    <t>P</t>
  </si>
  <si>
    <t>Spg</t>
  </si>
  <si>
    <t>GSp</t>
  </si>
  <si>
    <t>VSp</t>
  </si>
  <si>
    <t>Quot</t>
  </si>
  <si>
    <t>Auf</t>
  </si>
  <si>
    <t>GD</t>
  </si>
  <si>
    <t>BED</t>
  </si>
  <si>
    <t>HS</t>
  </si>
  <si>
    <t>lfdNr</t>
  </si>
  <si>
    <t>HR</t>
  </si>
  <si>
    <t>VR1</t>
  </si>
  <si>
    <t>GR1</t>
  </si>
  <si>
    <t>VR2</t>
  </si>
  <si>
    <t>VR3</t>
  </si>
  <si>
    <t>VR4</t>
  </si>
  <si>
    <t>VR5</t>
  </si>
  <si>
    <t>VR6</t>
  </si>
  <si>
    <t>ER1</t>
  </si>
  <si>
    <t>ER2</t>
  </si>
  <si>
    <t>GR2</t>
  </si>
  <si>
    <t>GR3</t>
  </si>
  <si>
    <t>Tisch</t>
  </si>
  <si>
    <t>2 x gewinnen</t>
  </si>
  <si>
    <t>Turnierbezeichnung:</t>
  </si>
  <si>
    <t>Bsp: BM P2 8B Herren</t>
  </si>
  <si>
    <t>Turnierort:</t>
  </si>
  <si>
    <t>Termin:</t>
  </si>
  <si>
    <t>Ausrichtender Verein:</t>
  </si>
  <si>
    <t>VR7</t>
  </si>
  <si>
    <t>VR8</t>
  </si>
  <si>
    <t>GR4</t>
  </si>
  <si>
    <t/>
  </si>
  <si>
    <t>Eingabe Ergebnisse in SP64</t>
  </si>
  <si>
    <t>VR9</t>
  </si>
  <si>
    <t>VR10</t>
  </si>
  <si>
    <t>d</t>
  </si>
  <si>
    <t>Freilos</t>
  </si>
  <si>
    <t>V. nach 65</t>
  </si>
  <si>
    <t>V. nach 66</t>
  </si>
  <si>
    <t>V. nach 67</t>
  </si>
  <si>
    <t>V. nach 68</t>
  </si>
  <si>
    <t>V. nach 69</t>
  </si>
  <si>
    <t>V. nach 70</t>
  </si>
  <si>
    <t>V. nach 71</t>
  </si>
  <si>
    <t>V. nach 72</t>
  </si>
  <si>
    <t>V. nach 73</t>
  </si>
  <si>
    <t>V. nach 74</t>
  </si>
  <si>
    <t>V. nach 75</t>
  </si>
  <si>
    <t>V. nach 76</t>
  </si>
  <si>
    <t>V. nach 77</t>
  </si>
  <si>
    <t>V. nach 78</t>
  </si>
  <si>
    <t>V. nach 79</t>
  </si>
  <si>
    <t>V. nach 80</t>
  </si>
  <si>
    <t>Verlierer nach 97</t>
  </si>
  <si>
    <t>Verlierer nach 98</t>
  </si>
  <si>
    <t>Verlierer nach 99</t>
  </si>
  <si>
    <t>Verlierer nach 100</t>
  </si>
  <si>
    <t>Verlierer nach 101</t>
  </si>
  <si>
    <t>Verlierer nach 102</t>
  </si>
  <si>
    <t>Verlierer nach 103</t>
  </si>
  <si>
    <t>Verlierer nach 104</t>
  </si>
  <si>
    <t>Verlierer nach 113</t>
  </si>
  <si>
    <t>Verlierer nach 114</t>
  </si>
  <si>
    <t>Verlierer nach 115</t>
  </si>
  <si>
    <t>Verlierer nach 116</t>
  </si>
  <si>
    <t>Verlierer nach 121</t>
  </si>
  <si>
    <t>Verlierer nach 122</t>
  </si>
  <si>
    <t>Verlierer nach 125</t>
  </si>
  <si>
    <t>Gewinner nach 126</t>
  </si>
  <si>
    <t>Turnierleitung</t>
  </si>
  <si>
    <t>Spiel-Nr:</t>
  </si>
  <si>
    <t>Tisch:</t>
  </si>
  <si>
    <t>:</t>
  </si>
  <si>
    <t>Spieler 1</t>
  </si>
  <si>
    <t>Spieler 2</t>
  </si>
  <si>
    <t>______</t>
  </si>
  <si>
    <t>Ergebnis bitte eintragen und bei der Turnierleitung abgeben</t>
  </si>
  <si>
    <t>für Druckoption der Lauf-</t>
  </si>
  <si>
    <t>zettel in Leiste rechts</t>
  </si>
  <si>
    <t>Partienummer drücken</t>
  </si>
  <si>
    <t>Name Vorname</t>
  </si>
  <si>
    <t>VNR</t>
  </si>
  <si>
    <t>VNAME</t>
  </si>
  <si>
    <t>MG_NR</t>
  </si>
  <si>
    <t>RP</t>
  </si>
  <si>
    <t>Mogalla, Christian</t>
  </si>
  <si>
    <t>Nagel, Robert</t>
  </si>
  <si>
    <t>Olschowsky, Rudolf</t>
  </si>
  <si>
    <t>Plötz, Nico</t>
  </si>
  <si>
    <t>Poppler, Christian</t>
  </si>
  <si>
    <t>Pürner, Manfred</t>
  </si>
  <si>
    <t>Ruban, Marco</t>
  </si>
  <si>
    <t>Russo, Domenik</t>
  </si>
  <si>
    <t>Sablov, Beatrice</t>
  </si>
  <si>
    <t>Schlosser, Mathias</t>
  </si>
  <si>
    <t>Schneider, Martin</t>
  </si>
  <si>
    <t>Schramm, Andreas</t>
  </si>
  <si>
    <t>Simeth, Jan</t>
  </si>
  <si>
    <t>Smith, Mike</t>
  </si>
  <si>
    <t>Smith, Mike jun.</t>
  </si>
  <si>
    <t>Sporrer, Thomas</t>
  </si>
  <si>
    <t>Spöttl, Peter</t>
  </si>
  <si>
    <t>Steger, Florian</t>
  </si>
  <si>
    <t>Steiger, Sara</t>
  </si>
  <si>
    <t>Steinacher, Johannes</t>
  </si>
  <si>
    <t>Steinacher, Siegfried</t>
  </si>
  <si>
    <t>Steiner, Christian</t>
  </si>
  <si>
    <t>Steiner, Tobias</t>
  </si>
  <si>
    <t>Stiegeler, Wolfgang</t>
  </si>
  <si>
    <t>Stockmann, Falco</t>
  </si>
  <si>
    <t>Stuchly, Alexander</t>
  </si>
  <si>
    <t>Stuchly, Markus</t>
  </si>
  <si>
    <t>Szanto, Zsanett</t>
  </si>
  <si>
    <t>Ullwer, Thomas</t>
  </si>
  <si>
    <t>Velle, Markus</t>
  </si>
  <si>
    <t>Weirather, Melanie</t>
  </si>
  <si>
    <t>Wolf, Michael</t>
  </si>
  <si>
    <t>Ziegltrum, Andreas</t>
  </si>
  <si>
    <t>Ziegltrum, Christian</t>
  </si>
  <si>
    <t>Akbas, Gabriel</t>
  </si>
  <si>
    <t>Augsburger BC</t>
  </si>
  <si>
    <t>Altmann, Danny</t>
  </si>
  <si>
    <t>Bayer, Helmut</t>
  </si>
  <si>
    <t>Bridts, Lothar</t>
  </si>
  <si>
    <t>Bruder, Wolfgang</t>
  </si>
  <si>
    <t>Cesarini, Salvatore</t>
  </si>
  <si>
    <t>Cochran, Dominik</t>
  </si>
  <si>
    <t>Dagan, Nihal</t>
  </si>
  <si>
    <t>Dawson, Dennis</t>
  </si>
  <si>
    <t>Essler, Herbert</t>
  </si>
  <si>
    <t>Fabian, Manfred</t>
  </si>
  <si>
    <t>Frank, Karl</t>
  </si>
  <si>
    <t>Freudhöfer, Günter</t>
  </si>
  <si>
    <t>Frick, Stefan</t>
  </si>
  <si>
    <t>Geißler, Martin</t>
  </si>
  <si>
    <t>Gogesch, Jürgen</t>
  </si>
  <si>
    <t>Grünert, Florian</t>
  </si>
  <si>
    <t>Grünert, Peter</t>
  </si>
  <si>
    <t>Hardt, Werner</t>
  </si>
  <si>
    <t>Held, Anton</t>
  </si>
  <si>
    <t>Hoffmann, Rainer</t>
  </si>
  <si>
    <t>Hüber, Kurt</t>
  </si>
  <si>
    <t>Jähnert, Fritz</t>
  </si>
  <si>
    <t>Jeannot, Christian</t>
  </si>
  <si>
    <t>Kellinger, Christian</t>
  </si>
  <si>
    <t>Kellinger, Harald</t>
  </si>
  <si>
    <t>Kelnhofer, Anton</t>
  </si>
  <si>
    <t>Kohla, Adolf</t>
  </si>
  <si>
    <t>Komanj, Danijel</t>
  </si>
  <si>
    <t>Kraut, Johann</t>
  </si>
  <si>
    <t>Kriz, Philipp</t>
  </si>
  <si>
    <t>Kriz, Susanne</t>
  </si>
  <si>
    <t>Lai, A Sang</t>
  </si>
  <si>
    <t>Lober, Helmut</t>
  </si>
  <si>
    <t>Lutzenberger, Bryan</t>
  </si>
  <si>
    <t>Michejew, Peter</t>
  </si>
  <si>
    <t>Monaco, Fabricio</t>
  </si>
  <si>
    <t>Papadopoulos, Thomas</t>
  </si>
  <si>
    <t>Pessinger, Christian</t>
  </si>
  <si>
    <t>Pessinger, Daniel</t>
  </si>
  <si>
    <t>Pilz, Alois</t>
  </si>
  <si>
    <t>Pipitone, Giovanni</t>
  </si>
  <si>
    <t>Ramsauer, Mathias</t>
  </si>
  <si>
    <t>Refle, Andre</t>
  </si>
  <si>
    <t>Reiter, Hans Jürgen</t>
  </si>
  <si>
    <t>Reiter, Ramona</t>
  </si>
  <si>
    <t>Rimer, Andreas</t>
  </si>
  <si>
    <t>Sadlo, Josef</t>
  </si>
  <si>
    <t>Schmid, Jörg</t>
  </si>
  <si>
    <t>Schmidmeir, Helmut</t>
  </si>
  <si>
    <t>Schöpflin, Heinz Dieter</t>
  </si>
  <si>
    <t>Schosser, Thomas</t>
  </si>
  <si>
    <t>Seebauer, Erwin</t>
  </si>
  <si>
    <t>Selke, Werner</t>
  </si>
  <si>
    <t>Siani, Bernardo</t>
  </si>
  <si>
    <t>Stadler, Alfred</t>
  </si>
  <si>
    <t>Stark, Roland</t>
  </si>
  <si>
    <t>Steinbüchel, Alex</t>
  </si>
  <si>
    <t>Svarc, Ulastimil</t>
  </si>
  <si>
    <t>Täuber, Stefan</t>
  </si>
  <si>
    <t>Utz, Günter</t>
  </si>
  <si>
    <t>Vetter, Frantz</t>
  </si>
  <si>
    <t>Voinescu, Florian</t>
  </si>
  <si>
    <t>Vu, Viet Chuyen</t>
  </si>
  <si>
    <t>Walser von Syrenburg, Maximilian Philipp</t>
  </si>
  <si>
    <t>Wares, Hossein</t>
  </si>
  <si>
    <t>Welz, Josef</t>
  </si>
  <si>
    <t>Widi, Tobias</t>
  </si>
  <si>
    <t>Wolffram, Florian</t>
  </si>
  <si>
    <t>Wolffram, Werner</t>
  </si>
  <si>
    <t>Würzle, Ralf</t>
  </si>
  <si>
    <t>Zeller, Reinhard</t>
  </si>
  <si>
    <t>Ziehr, Florian</t>
  </si>
  <si>
    <t>Bachl, Norbert</t>
  </si>
  <si>
    <t>PBC Königsbrunn</t>
  </si>
  <si>
    <t>Baumann, Jürgen</t>
  </si>
  <si>
    <t>Böhler, Thomas</t>
  </si>
  <si>
    <t>Büchler, Rick</t>
  </si>
  <si>
    <t>Bürger, Peter</t>
  </si>
  <si>
    <t>Edler, Bruno</t>
  </si>
  <si>
    <t>Edler, Michael</t>
  </si>
  <si>
    <t>Forchmin, Reiner</t>
  </si>
  <si>
    <t>Hartinger, Dieter</t>
  </si>
  <si>
    <t>Kristian, Martin</t>
  </si>
  <si>
    <t>Lupper, Stephan</t>
  </si>
  <si>
    <t>Medla, Christian</t>
  </si>
  <si>
    <t>Mitko, Andreas</t>
  </si>
  <si>
    <t>Moser-Schwenk, Stefanie</t>
  </si>
  <si>
    <t>Ochmann, Rainer</t>
  </si>
  <si>
    <t>Passan, Wolfgang</t>
  </si>
  <si>
    <t>Pokladnik, Gregor</t>
  </si>
  <si>
    <t>Probst, Thomas</t>
  </si>
  <si>
    <t>Schwenk, Jürgen</t>
  </si>
  <si>
    <t>Spielmann, Klaus</t>
  </si>
  <si>
    <t>Stock, Andreas</t>
  </si>
  <si>
    <t>Tabaczyk, Arthur</t>
  </si>
  <si>
    <t>Tabaczyk, Markus</t>
  </si>
  <si>
    <t>Toth, Gerhard</t>
  </si>
  <si>
    <t>Walter, Mathias</t>
  </si>
  <si>
    <t>Gayer, Alfons</t>
  </si>
  <si>
    <t>PBV Bobingen</t>
  </si>
  <si>
    <t>Gayer, Edith</t>
  </si>
  <si>
    <t>Gayer, Josef</t>
  </si>
  <si>
    <t>Kipka, Markus</t>
  </si>
  <si>
    <t>Kummer, Iris</t>
  </si>
  <si>
    <t>Mader, Claus</t>
  </si>
  <si>
    <t>Pache, Evelyn</t>
  </si>
  <si>
    <t>Rogg, Rainer</t>
  </si>
  <si>
    <t>Wenzl, Robert</t>
  </si>
  <si>
    <t>Aninger, Franz</t>
  </si>
  <si>
    <t>PBC Lauingen</t>
  </si>
  <si>
    <t>Bayer, Christian</t>
  </si>
  <si>
    <t>Becher, Michael</t>
  </si>
  <si>
    <t>Beitinger, Herbert</t>
  </si>
  <si>
    <t>Braun, Michael</t>
  </si>
  <si>
    <t>Cvilj, Nenad</t>
  </si>
  <si>
    <t>Doktor, Joachim</t>
  </si>
  <si>
    <t>Fischer, Thomas</t>
  </si>
  <si>
    <t>Foitl, Franz</t>
  </si>
  <si>
    <t>Gloge, Werner</t>
  </si>
  <si>
    <t>Grimminger, Markus</t>
  </si>
  <si>
    <t>Gromes, Frank</t>
  </si>
  <si>
    <t>Hofmann, Thomas</t>
  </si>
  <si>
    <t>Holzapfel, Klaus</t>
  </si>
  <si>
    <t>Kamm, Gabi</t>
  </si>
  <si>
    <t>Kamm, Jürgen</t>
  </si>
  <si>
    <t>Kölle, Reinhard</t>
  </si>
  <si>
    <t>Mair, Sven</t>
  </si>
  <si>
    <t>Mayr, Guido</t>
  </si>
  <si>
    <t>Mayr, Harald</t>
  </si>
  <si>
    <t>Mayr, Jürgen</t>
  </si>
  <si>
    <t>Mayr, Sonja</t>
  </si>
  <si>
    <t>Meindl, Dieter</t>
  </si>
  <si>
    <t>Meindl, Max</t>
  </si>
  <si>
    <t>Meindl, Stefan</t>
  </si>
  <si>
    <t>Müller, Markus</t>
  </si>
  <si>
    <t>Ortner, Marco</t>
  </si>
  <si>
    <t>Pietsch, Wolfgang</t>
  </si>
  <si>
    <t>Raupp, Alexander</t>
  </si>
  <si>
    <t>Reichel, Daniela</t>
  </si>
  <si>
    <t>Rommel, Peter</t>
  </si>
  <si>
    <t>Schöttner, Lothar</t>
  </si>
  <si>
    <t>Schrepper, Patrick</t>
  </si>
  <si>
    <t>Spahr, Alexander</t>
  </si>
  <si>
    <t>Strehle, Florian</t>
  </si>
  <si>
    <t>Strohschneider, Roland</t>
  </si>
  <si>
    <t>Sturani, Armin</t>
  </si>
  <si>
    <t>Wagner, Wolfgang</t>
  </si>
  <si>
    <t>Wilke, Andreas</t>
  </si>
  <si>
    <t>Winkler, Michael</t>
  </si>
  <si>
    <t>Wölz, Boris</t>
  </si>
  <si>
    <t>Ziegler, Thomas</t>
  </si>
  <si>
    <t>Becherer, Thomas</t>
  </si>
  <si>
    <t>BC Haunstetten</t>
  </si>
  <si>
    <t>Behner, Benjamin</t>
  </si>
  <si>
    <t>Bengelmann, Stefan</t>
  </si>
  <si>
    <t>Dehme, Claus-Dieter</t>
  </si>
  <si>
    <t>Eder, Rainer</t>
  </si>
  <si>
    <t>Ellenberger, Christian</t>
  </si>
  <si>
    <t>Engelhard, Frank</t>
  </si>
  <si>
    <t>Ernst, Stefan</t>
  </si>
  <si>
    <t>Gjorgievski, Dragan</t>
  </si>
  <si>
    <t>Groß, Bernd</t>
  </si>
  <si>
    <t>Gürani, Abdurrezak</t>
  </si>
  <si>
    <t>Hanger, Jürgen</t>
  </si>
  <si>
    <t>Hemel, Ramona</t>
  </si>
  <si>
    <t>Hopf, Stefan</t>
  </si>
  <si>
    <t>Kaiser, Georg</t>
  </si>
  <si>
    <t>Kleber, Alexander</t>
  </si>
  <si>
    <t>Klöck, Markus</t>
  </si>
  <si>
    <t>Meisenheimer, Bernd</t>
  </si>
  <si>
    <t>Meister, Martin</t>
  </si>
  <si>
    <t>Moreira, Don-Lui</t>
  </si>
  <si>
    <t>Mork, Daniel</t>
  </si>
  <si>
    <t>Naussed, Harald</t>
  </si>
  <si>
    <t>Ordosch, Heinz</t>
  </si>
  <si>
    <t>Pfeifferer, Jürgen</t>
  </si>
  <si>
    <t>Rauschmair, Heinz</t>
  </si>
  <si>
    <t>Ruf, Martin</t>
  </si>
  <si>
    <t>Scherer, Marcus</t>
  </si>
  <si>
    <t>Schurr, Michael</t>
  </si>
  <si>
    <t>Schuster, Holger</t>
  </si>
  <si>
    <t>Schütz, Eduard</t>
  </si>
  <si>
    <t>Seitz, Bernhard</t>
  </si>
  <si>
    <t>Sergl, Michael</t>
  </si>
  <si>
    <t>Standen, Richard</t>
  </si>
  <si>
    <t>Stock, Jörg</t>
  </si>
  <si>
    <t>Strauch, Nikky</t>
  </si>
  <si>
    <t>Vetsch, Andreas</t>
  </si>
  <si>
    <t>Weber, Berthold</t>
  </si>
  <si>
    <t>Wecker, Timo</t>
  </si>
  <si>
    <t>Weichselbaumer, Tobias</t>
  </si>
  <si>
    <t>Weidinger, Mark</t>
  </si>
  <si>
    <t>Zagorac, Aleksandar</t>
  </si>
  <si>
    <t>Zirch, Manfred</t>
  </si>
  <si>
    <t>Baylacher, Lothar</t>
  </si>
  <si>
    <t>PBC Augsburg</t>
  </si>
  <si>
    <t>Böhm, Florian</t>
  </si>
  <si>
    <t>Eichele, Maximilian</t>
  </si>
  <si>
    <t>Ernst, Irene</t>
  </si>
  <si>
    <t>Grgic, Marinko</t>
  </si>
  <si>
    <t>Gruber, Stefan</t>
  </si>
  <si>
    <t>Gschwind, Andreas</t>
  </si>
  <si>
    <t>Hamann, Stefan</t>
  </si>
  <si>
    <t>Hertle, Elmar</t>
  </si>
  <si>
    <t>Hobner, Andreas</t>
  </si>
  <si>
    <t>Holzbrecher, Gregor</t>
  </si>
  <si>
    <t>Keser, Manuel</t>
  </si>
  <si>
    <t>Kölbl, Markus</t>
  </si>
  <si>
    <t>Korkmazer, Bülent</t>
  </si>
  <si>
    <t>Kussauer, Sebastian</t>
  </si>
  <si>
    <t>Lichtenstern, Johann</t>
  </si>
  <si>
    <t>Motyka, Adam</t>
  </si>
  <si>
    <t>Nguyen, Hao</t>
  </si>
  <si>
    <t>Opacic, Tomislav</t>
  </si>
  <si>
    <t>Pawlitza, Markus</t>
  </si>
  <si>
    <t>Rauh, Jürgen</t>
  </si>
  <si>
    <t>Richter, Dominik</t>
  </si>
  <si>
    <t>Rupp, Johann</t>
  </si>
  <si>
    <t>Schiffmann, Heinz</t>
  </si>
  <si>
    <t>Schmidt, Jürgen</t>
  </si>
  <si>
    <t>Schoderer, Peter</t>
  </si>
  <si>
    <t>Tausch, Norbert</t>
  </si>
  <si>
    <t>Tomljanovic, Stipe</t>
  </si>
  <si>
    <t>Uslu, Zafer</t>
  </si>
  <si>
    <t>Vogele, Werner</t>
  </si>
  <si>
    <t>Wiedra, Dieter</t>
  </si>
  <si>
    <t>Winter, Manfred</t>
  </si>
  <si>
    <t>Albanese, Marcello</t>
  </si>
  <si>
    <t>PBC Ulm/Neu-Ulm</t>
  </si>
  <si>
    <t>Aldirmaz, Ahmet</t>
  </si>
  <si>
    <t>Baude, Siegbert</t>
  </si>
  <si>
    <t>Bellmann, Tobias</t>
  </si>
  <si>
    <t>Böttinger, Mike</t>
  </si>
  <si>
    <t>Brechtenbreiter, Armin</t>
  </si>
  <si>
    <t>Bremer, Roland</t>
  </si>
  <si>
    <t>Buchen, Marc</t>
  </si>
  <si>
    <t>Caspers, Stefan</t>
  </si>
  <si>
    <t>Erker, Christian</t>
  </si>
  <si>
    <t>Gassmann, Walter</t>
  </si>
  <si>
    <t>Gassmann, Wolfgang</t>
  </si>
  <si>
    <t>Göser, Rainer</t>
  </si>
  <si>
    <t>Greiner, Uli</t>
  </si>
  <si>
    <t>Hanke, Florian</t>
  </si>
  <si>
    <t>Harper, Kevin</t>
  </si>
  <si>
    <t>Hausbeck, Reiner</t>
  </si>
  <si>
    <t>Helbich, Christel</t>
  </si>
  <si>
    <t>Hillmann, Jürgen</t>
  </si>
  <si>
    <t>Kast, Eberhard</t>
  </si>
  <si>
    <t>Kohler, Michael</t>
  </si>
  <si>
    <t>Köpf, Tanja</t>
  </si>
  <si>
    <t>Kratzenstein, Ralf</t>
  </si>
  <si>
    <t>Kurtnacker, Olli</t>
  </si>
  <si>
    <t>Lücking, Jessica</t>
  </si>
  <si>
    <t>Lücking, Rebecca</t>
  </si>
  <si>
    <t>Lücking, Reinhold</t>
  </si>
  <si>
    <t>Lutz, Matthias</t>
  </si>
  <si>
    <t>Mader, Martin</t>
  </si>
  <si>
    <t>Mürner, Udo</t>
  </si>
  <si>
    <t>Niemann, Meik</t>
  </si>
  <si>
    <t>Otto, Markus</t>
  </si>
  <si>
    <t>Patanant, Kidan</t>
  </si>
  <si>
    <t>Pelda, Markus</t>
  </si>
  <si>
    <t>Poderbach, Jürgen</t>
  </si>
  <si>
    <t>Polzer, Natalie</t>
  </si>
  <si>
    <t>Popeskul, Stefan</t>
  </si>
  <si>
    <t>Rath, Florian</t>
  </si>
  <si>
    <t>Rein, Robin</t>
  </si>
  <si>
    <t>Renner, Tina</t>
  </si>
  <si>
    <t>Renz, Uli</t>
  </si>
  <si>
    <t>Schleicher, Michael</t>
  </si>
  <si>
    <t>Schuster, Ralf</t>
  </si>
  <si>
    <t>Schuster, Timo</t>
  </si>
  <si>
    <t>Stecker, Karl-Heinz</t>
  </si>
  <si>
    <t>Stehling, Andreas</t>
  </si>
  <si>
    <t>Strobel, Stephan</t>
  </si>
  <si>
    <t>Thomalla, Jürgen</t>
  </si>
  <si>
    <t>Uitz, Richard</t>
  </si>
  <si>
    <t>Uslu, Kutlu</t>
  </si>
  <si>
    <t>Völkert, Markus</t>
  </si>
  <si>
    <t>Winter, Marc</t>
  </si>
  <si>
    <t>Wolf, Stefan</t>
  </si>
  <si>
    <t>Basting, Thomas</t>
  </si>
  <si>
    <t>PBSC Donauwörth</t>
  </si>
  <si>
    <t>Beck, Michael</t>
  </si>
  <si>
    <t>Czeschner, Roland</t>
  </si>
  <si>
    <t>Ertel, Michael</t>
  </si>
  <si>
    <t>Frankl, Bernhard</t>
  </si>
  <si>
    <t>Gommeringer, Michael</t>
  </si>
  <si>
    <t>Griebat, Volker</t>
  </si>
  <si>
    <t>Gschlößl, Stephan</t>
  </si>
  <si>
    <t>Hagedorn, Reiner</t>
  </si>
  <si>
    <t>Hattler, Herbert</t>
  </si>
  <si>
    <t>Hoser, Tobias</t>
  </si>
  <si>
    <t>Ihle, Steve</t>
  </si>
  <si>
    <t>Kamitz, Matthias</t>
  </si>
  <si>
    <t>Krug, Alexander</t>
  </si>
  <si>
    <t>Lechlmaier, Martina</t>
  </si>
  <si>
    <t>Lürtzing, Markus</t>
  </si>
  <si>
    <t>Mitsch, Günter</t>
  </si>
  <si>
    <t>Mumcu, Erdinc</t>
  </si>
  <si>
    <t>Oehrlein, Elfi</t>
  </si>
  <si>
    <t>Oltmanns, Brigitte</t>
  </si>
  <si>
    <t>Oltmanns, Eike</t>
  </si>
  <si>
    <t>Pröll, Stefan</t>
  </si>
  <si>
    <t>Rüther, Andreas</t>
  </si>
  <si>
    <t>Schäferling, Alexander</t>
  </si>
  <si>
    <t>Schmidt, Thomas</t>
  </si>
  <si>
    <t>Schnürch, Martin</t>
  </si>
  <si>
    <t>Schwarz, Thomas</t>
  </si>
  <si>
    <t>Weingarten, Stefan</t>
  </si>
  <si>
    <t>Weiß, Gero</t>
  </si>
  <si>
    <t>Angelidis, Dimitrios</t>
  </si>
  <si>
    <t>BSC Augsburg</t>
  </si>
  <si>
    <t>Auyeng, Michael</t>
  </si>
  <si>
    <t>Braun, Wilhelm</t>
  </si>
  <si>
    <t>Brehm, Benjamin</t>
  </si>
  <si>
    <t>Clarke, Gladwin</t>
  </si>
  <si>
    <t>Dogan, Gülnihal</t>
  </si>
  <si>
    <t>Fritsch, Peter</t>
  </si>
  <si>
    <t>Fritsch, Thomas</t>
  </si>
  <si>
    <t>Grüner, Andreas</t>
  </si>
  <si>
    <t>Hohmann, Peter</t>
  </si>
  <si>
    <t>Kohnle, Werner</t>
  </si>
  <si>
    <t>Leimbach, Werner</t>
  </si>
  <si>
    <t>Malchar, Thomas</t>
  </si>
  <si>
    <t>Mayer, Walter</t>
  </si>
  <si>
    <t>Mittmann, Patrick</t>
  </si>
  <si>
    <t>Münchow, Tobias</t>
  </si>
  <si>
    <t>Naegele, Hermann</t>
  </si>
  <si>
    <t>Pecher, Christian</t>
  </si>
  <si>
    <t>Radojcic, Zeljko</t>
  </si>
  <si>
    <t>Refle, Thomas</t>
  </si>
  <si>
    <t>Riedmann, Marco</t>
  </si>
  <si>
    <t>Riess, Hans</t>
  </si>
  <si>
    <t>Rupprecht, Armin</t>
  </si>
  <si>
    <t>Seyfried, Thomas</t>
  </si>
  <si>
    <t>Sieber, Gerhard</t>
  </si>
  <si>
    <t>Streicher, Ute</t>
  </si>
  <si>
    <t>Walter, Peter</t>
  </si>
  <si>
    <t>Wiedemann, Michael</t>
  </si>
  <si>
    <t>Wirsching, Michael</t>
  </si>
  <si>
    <t>Arguini, Joachim</t>
  </si>
  <si>
    <t>BSC Weißenhorn</t>
  </si>
  <si>
    <t>Demirkaya, Oktay</t>
  </si>
  <si>
    <t>Diso, Monika</t>
  </si>
  <si>
    <t>Diso, Thomas</t>
  </si>
  <si>
    <t>Erisis, Izzet</t>
  </si>
  <si>
    <t>Feher, Anton</t>
  </si>
  <si>
    <t>Fichte, Marcus</t>
  </si>
  <si>
    <t>Gärtner, Sabine</t>
  </si>
  <si>
    <t>Glomb, Jochen</t>
  </si>
  <si>
    <t>Heim, Enrico</t>
  </si>
  <si>
    <t>Newberry, Kenneth Wyatt</t>
  </si>
  <si>
    <t>Reinke, Steffen</t>
  </si>
  <si>
    <t>Rudenko, Oleg</t>
  </si>
  <si>
    <t>Schwarz, Marco</t>
  </si>
  <si>
    <t>Schwend, Jürgen</t>
  </si>
  <si>
    <t>Ulucinar, Ümit</t>
  </si>
  <si>
    <t>Winter, Stefan</t>
  </si>
  <si>
    <t>Abart, Roberto</t>
  </si>
  <si>
    <t>BSC Kissing</t>
  </si>
  <si>
    <t>Brand, Barbara</t>
  </si>
  <si>
    <t>Brandmeier, Wolfgang</t>
  </si>
  <si>
    <t>Christian, Manuela</t>
  </si>
  <si>
    <t>Christian, Werner</t>
  </si>
  <si>
    <t>Decker, Christian</t>
  </si>
  <si>
    <t>Egger, Thomas</t>
  </si>
  <si>
    <t>Fischer, Stefan</t>
  </si>
  <si>
    <t>Geller, David</t>
  </si>
  <si>
    <t>Hahn, Hans</t>
  </si>
  <si>
    <t>Hahner, Heiko</t>
  </si>
  <si>
    <t>Hahner, Kerstin</t>
  </si>
  <si>
    <t>Heichele, Robert</t>
  </si>
  <si>
    <t>Hertle, Markus</t>
  </si>
  <si>
    <t>Hintersberger, Markus</t>
  </si>
  <si>
    <t>Huber, Manfred</t>
  </si>
  <si>
    <t>Jaufmann, Richard</t>
  </si>
  <si>
    <t>Jüttner, Florian</t>
  </si>
  <si>
    <t>Kellner, Alexander</t>
  </si>
  <si>
    <t>Köpke, Daniel</t>
  </si>
  <si>
    <t>Krüger, Hermann</t>
  </si>
  <si>
    <t>Krüger, Holger</t>
  </si>
  <si>
    <t>Meier, Christian</t>
  </si>
  <si>
    <t>Meister, Helmut</t>
  </si>
  <si>
    <t>Miller, Stefan</t>
  </si>
  <si>
    <t>Milzarek, Christoph</t>
  </si>
  <si>
    <t>Müller, Wolfgang</t>
  </si>
  <si>
    <t>Neuhaus, Andreas</t>
  </si>
  <si>
    <t>Priller, Frank</t>
  </si>
  <si>
    <t>Röthle, David</t>
  </si>
  <si>
    <t>Schechinger, Markus</t>
  </si>
  <si>
    <t>Schoder, Georg</t>
  </si>
  <si>
    <t>Strunz, Michael</t>
  </si>
  <si>
    <t>Thoma, Jürgen</t>
  </si>
  <si>
    <t>Vötter, Markus</t>
  </si>
  <si>
    <t>Weber, Florian</t>
  </si>
  <si>
    <t>Werner, Dietmar</t>
  </si>
  <si>
    <t>Westermeier, Helmut</t>
  </si>
  <si>
    <t>Aigner, Michael</t>
  </si>
  <si>
    <t>Olimpia München</t>
  </si>
  <si>
    <t>Al Faraj, Marcel</t>
  </si>
  <si>
    <t>Alexus, Petras</t>
  </si>
  <si>
    <t>Anzinger, Ronald</t>
  </si>
  <si>
    <t>Auer, Dietmar-Lothar</t>
  </si>
  <si>
    <t>Bachleitner, Heinz</t>
  </si>
  <si>
    <t>Bauereiß, Rüdiger</t>
  </si>
  <si>
    <t>Bekaj, Viktor</t>
  </si>
  <si>
    <t>Biangini, Fritz</t>
  </si>
  <si>
    <t>Biangini, Jacqueline</t>
  </si>
  <si>
    <t>Bonde, Thomas</t>
  </si>
  <si>
    <t>Botis, Cora</t>
  </si>
  <si>
    <t>Burghofer, Matthias</t>
  </si>
  <si>
    <t>Burkhart, Holger</t>
  </si>
  <si>
    <t>Buschhüter, Sylvia</t>
  </si>
  <si>
    <t>Carnovalini, Alberto</t>
  </si>
  <si>
    <t>Cinku, Emel</t>
  </si>
  <si>
    <t>Dimitriu, Panagiotis</t>
  </si>
  <si>
    <t>Djuvic, Daniel</t>
  </si>
  <si>
    <t>Eggendorfer, Peter</t>
  </si>
  <si>
    <t>Ehlers, Nico</t>
  </si>
  <si>
    <t>Elbing, Dennis</t>
  </si>
  <si>
    <t>Englbrecht, Willi</t>
  </si>
  <si>
    <t>Federmann, Markus</t>
  </si>
  <si>
    <t>Feiler, Dieter</t>
  </si>
  <si>
    <t>Fillenhals, Florian</t>
  </si>
  <si>
    <t>Fischer, Andreas</t>
  </si>
  <si>
    <t>Friedmann, Hermann</t>
  </si>
  <si>
    <t>Fukuhara-Moser, Yoshie</t>
  </si>
  <si>
    <t>Gacic, Dragan</t>
  </si>
  <si>
    <t>Gehringer, Roman</t>
  </si>
  <si>
    <t>Gerr, Benjamin</t>
  </si>
  <si>
    <t>Gilik, Michael</t>
  </si>
  <si>
    <t>Grill, Stefan</t>
  </si>
  <si>
    <t>Gruber, Martin</t>
  </si>
  <si>
    <t>Guth, Michael</t>
  </si>
  <si>
    <t>Hasan, Kristijan</t>
  </si>
  <si>
    <t>Haude, Torsten</t>
  </si>
  <si>
    <t>Hauser, Florian</t>
  </si>
  <si>
    <t>Hauser, Rolf</t>
  </si>
  <si>
    <t>Hiermeier, Michael</t>
  </si>
  <si>
    <t>Hilz, Peter</t>
  </si>
  <si>
    <t>Hofberger, Josef</t>
  </si>
  <si>
    <t>Hoffmann, Sascha</t>
  </si>
  <si>
    <t>Holzmann, Julian</t>
  </si>
  <si>
    <t>Hör, Carsten</t>
  </si>
  <si>
    <t>Kahlenberg, Mark</t>
  </si>
  <si>
    <t>Karadag, Handan-Hamide</t>
  </si>
  <si>
    <t>Karadag, Mefayil</t>
  </si>
  <si>
    <t>Kautz, Volker</t>
  </si>
  <si>
    <t>Klara, Henri Pierre</t>
  </si>
  <si>
    <t>Klügel, Thomas</t>
  </si>
  <si>
    <t>Knoche, Konstantin</t>
  </si>
  <si>
    <t>König, Wolfgang</t>
  </si>
  <si>
    <t>Krasser, Andreas</t>
  </si>
  <si>
    <t>Krebs, David</t>
  </si>
  <si>
    <t>Kretschmann, Stefan</t>
  </si>
  <si>
    <t>Kühn, Andreas</t>
  </si>
  <si>
    <t>Lale, Ferhat</t>
  </si>
  <si>
    <t>Lange, Daniela</t>
  </si>
  <si>
    <t>Lange, Hendrik</t>
  </si>
  <si>
    <t>Lange, Robert</t>
  </si>
  <si>
    <t>Lechl, Günther</t>
  </si>
  <si>
    <t>Lechner, Stefan</t>
  </si>
  <si>
    <t>Lederle, Alois</t>
  </si>
  <si>
    <t>Mader, Gregor</t>
  </si>
  <si>
    <t>Masuth, Slobodan</t>
  </si>
  <si>
    <t>Meimmerer, Benjamin</t>
  </si>
  <si>
    <t>Mellinger, Hans-Peter</t>
  </si>
  <si>
    <t>Mikulcic, Anton</t>
  </si>
  <si>
    <t>Nusko, Mario</t>
  </si>
  <si>
    <t>Papatheodorou, Joannis</t>
  </si>
  <si>
    <t>Parcaoglu, Bülent</t>
  </si>
  <si>
    <t>Reggiani, Simona</t>
  </si>
  <si>
    <t>Ries, Matthias</t>
  </si>
  <si>
    <t>Roth, Manuel</t>
  </si>
  <si>
    <t>Rudolph, Daniel</t>
  </si>
  <si>
    <t>Schettlinger, Torsten</t>
  </si>
  <si>
    <t>Schlennert, Andreas</t>
  </si>
  <si>
    <t>Schmidt, Johann</t>
  </si>
  <si>
    <t>Schmidt, Josef</t>
  </si>
  <si>
    <t>Schmidt, Ronnie</t>
  </si>
  <si>
    <t>Schneider, Nicole</t>
  </si>
  <si>
    <t>Schneider, Rudolf</t>
  </si>
  <si>
    <t>Schwab, Jakob</t>
  </si>
  <si>
    <t>Sendlbeck, Ludwig</t>
  </si>
  <si>
    <t>Sittinger, Willibald</t>
  </si>
  <si>
    <t>Smajkic, Muamer</t>
  </si>
  <si>
    <t>Stangl-Perotto, Ralf</t>
  </si>
  <si>
    <t>Stolka, Fabian</t>
  </si>
  <si>
    <t>Thiel, Sascha</t>
  </si>
  <si>
    <t>Thoms, Werner</t>
  </si>
  <si>
    <t>Tso, Raymond</t>
  </si>
  <si>
    <t>Vielhuber, Christian</t>
  </si>
  <si>
    <t>Vincenzi, Gaetano</t>
  </si>
  <si>
    <t>Vogel, Andre</t>
  </si>
  <si>
    <t>Weber, Iris</t>
  </si>
  <si>
    <t>Weberstetter, Illa</t>
  </si>
  <si>
    <t>Weberstetter, Robert</t>
  </si>
  <si>
    <t>Widekind, Alexander von</t>
  </si>
  <si>
    <t>Woite, Martin</t>
  </si>
  <si>
    <t>Yurtsavan, Haluk</t>
  </si>
  <si>
    <t>Zitzelsperger, Wolfdieter</t>
  </si>
  <si>
    <t>Baas, Jurrian Bryan</t>
  </si>
  <si>
    <t>PBC München-West</t>
  </si>
  <si>
    <t>Bembenek, Claus</t>
  </si>
  <si>
    <t>Bornemann, Florian</t>
  </si>
  <si>
    <t>Brosig, Hans-Jürgen</t>
  </si>
  <si>
    <t xml:space="preserve">     Achtung doppelte Namenseingabe ! - Achtung doppelte Namenseingabe !</t>
  </si>
  <si>
    <t xml:space="preserve">           Achtung doppelte Tischeingabe !</t>
  </si>
  <si>
    <t>Turnierleitung:</t>
  </si>
  <si>
    <t>Dellekönig, Markus</t>
  </si>
  <si>
    <t>Dyczmons, Andrè</t>
  </si>
  <si>
    <t>Foukis, Elias</t>
  </si>
  <si>
    <t>Hadzibegovic, Adnan</t>
  </si>
  <si>
    <t>Hofmeier, Andreas</t>
  </si>
  <si>
    <t>Johannes, Andreas</t>
  </si>
  <si>
    <t>Jovanovic, Danijel</t>
  </si>
  <si>
    <t>Jovanovic, Kristijan</t>
  </si>
  <si>
    <t>Jürgensen, Thomas</t>
  </si>
  <si>
    <t>Kammerer, Edeltraud</t>
  </si>
  <si>
    <t>Kammerer, Matthias</t>
  </si>
  <si>
    <t>Kammerer, Susanne</t>
  </si>
  <si>
    <t>Kelter, Heinz-Peter</t>
  </si>
  <si>
    <t>Kilian, Gabriele</t>
  </si>
  <si>
    <t>Kilian, Robert</t>
  </si>
  <si>
    <t>Klaus, Patrick</t>
  </si>
  <si>
    <t>Knöferl, Rudolf</t>
  </si>
  <si>
    <t>Kotschate, Christian</t>
  </si>
  <si>
    <t>Kotschate, Peter</t>
  </si>
  <si>
    <t>Loy, Klaus</t>
  </si>
  <si>
    <t>Maiblüh, Carola</t>
  </si>
  <si>
    <t>Mania, Andreas</t>
  </si>
  <si>
    <t>Mantscheff, Cato</t>
  </si>
  <si>
    <t>Michelon, Alexander</t>
  </si>
  <si>
    <t>Mullebrouck, Michel</t>
  </si>
  <si>
    <t>Ottilinger, Martin</t>
  </si>
  <si>
    <t>Plieske, Roger</t>
  </si>
  <si>
    <t>Poeverlein, Bruno</t>
  </si>
  <si>
    <t>Riedel, Sabrina</t>
  </si>
  <si>
    <t>Ruetz, Mathias</t>
  </si>
  <si>
    <t>Saussen, Daniel</t>
  </si>
  <si>
    <t>Schowalter, Christian</t>
  </si>
  <si>
    <t>Schwarzenegger, Anja</t>
  </si>
  <si>
    <t>Schwarzenegger, Thomas</t>
  </si>
  <si>
    <t>Segerer, Felix</t>
  </si>
  <si>
    <t>Seibt, Andreas</t>
  </si>
  <si>
    <t>Sincini, Daniel</t>
  </si>
  <si>
    <t>Sprenger, Klaus</t>
  </si>
  <si>
    <t>Troppmann, Alexander</t>
  </si>
  <si>
    <t>Urbetat, Marcel</t>
  </si>
  <si>
    <t>Westdickenberg, Hubertus</t>
  </si>
  <si>
    <t>Zizzati, Fabio</t>
  </si>
  <si>
    <t>Auzinger, Markus</t>
  </si>
  <si>
    <t>BC Miesbach</t>
  </si>
  <si>
    <t>Dinges, Thorsten</t>
  </si>
  <si>
    <t>Dittrich, Marko</t>
  </si>
  <si>
    <t>Freiberger, Martin</t>
  </si>
  <si>
    <t>Gegenfurtner, Wolfgang</t>
  </si>
  <si>
    <t>Glatz, Sigrid</t>
  </si>
  <si>
    <t>Greil, Veronika</t>
  </si>
  <si>
    <t>Grigat, Norbert</t>
  </si>
  <si>
    <t>Handke, Jörg</t>
  </si>
  <si>
    <t>Jooß, Magdalena</t>
  </si>
  <si>
    <t>Jung, Andreas</t>
  </si>
  <si>
    <t>Kaiser, Markus</t>
  </si>
  <si>
    <t>Keml, Michaela</t>
  </si>
  <si>
    <t>Killer, Tobias</t>
  </si>
  <si>
    <t>Kirchmaier, Günther</t>
  </si>
  <si>
    <t>Kölbl, Ludwig</t>
  </si>
  <si>
    <t>Kollmer, Manfred</t>
  </si>
  <si>
    <t>Krix, Florian</t>
  </si>
  <si>
    <t>Kunze, Michael</t>
  </si>
  <si>
    <t>Kunze, Robert</t>
  </si>
  <si>
    <t>Lang, Andreas</t>
  </si>
  <si>
    <t>Lehmeier, Michael</t>
  </si>
  <si>
    <t>Lendlmeier, Stefan</t>
  </si>
  <si>
    <t>Leupold, Jan</t>
  </si>
  <si>
    <t>Maier, Gerhard</t>
  </si>
  <si>
    <t>Medvejsek, Florian</t>
  </si>
  <si>
    <t>Medvejsek, Karl</t>
  </si>
  <si>
    <t>Melz, Stefan</t>
  </si>
  <si>
    <t>Monz, Johann</t>
  </si>
  <si>
    <t>Neubauer, Florian</t>
  </si>
  <si>
    <t>Oechsler, Georg</t>
  </si>
  <si>
    <t>Ölschlegel, Marco</t>
  </si>
  <si>
    <t>Orlich, Bernt</t>
  </si>
  <si>
    <t>Finale</t>
  </si>
  <si>
    <t>GR5</t>
  </si>
  <si>
    <t>Pech, Barbara</t>
  </si>
  <si>
    <t>Pech, Christian</t>
  </si>
  <si>
    <t>Plaschka, Josef</t>
  </si>
  <si>
    <t>Rathke, Frank</t>
  </si>
  <si>
    <t>Reim, Dietmar</t>
  </si>
  <si>
    <t>Reisberger, Volker</t>
  </si>
  <si>
    <t>Sahin, Ahmet</t>
  </si>
  <si>
    <t>Schemmel, Rainer</t>
  </si>
  <si>
    <t>Schemmel, Sebastian</t>
  </si>
  <si>
    <t>Schemmel, Tobias</t>
  </si>
  <si>
    <t>Schieber, Jürgen</t>
  </si>
  <si>
    <t>Schreiner, Christian</t>
  </si>
  <si>
    <t>Schwab, Alois</t>
  </si>
  <si>
    <t>Seibald, Markus</t>
  </si>
  <si>
    <t>Seidl, Balthasar</t>
  </si>
  <si>
    <t>Spies, Rainer</t>
  </si>
  <si>
    <t>Steinlechner, Klaus</t>
  </si>
  <si>
    <t>Stülpner, Alexandra</t>
  </si>
  <si>
    <t>Wagner, Siegfried</t>
  </si>
  <si>
    <t>Weißenbacher, Michael</t>
  </si>
  <si>
    <t>Zeitler, Florian</t>
  </si>
  <si>
    <t>Angelokastritis, Ramona</t>
  </si>
  <si>
    <t>PBC Lerchenau</t>
  </si>
  <si>
    <t>Atay, Mustafa</t>
  </si>
  <si>
    <t>Aumann, Andreas</t>
  </si>
  <si>
    <t>Aumann, Thomas</t>
  </si>
  <si>
    <t>Baumann, Hans</t>
  </si>
  <si>
    <t>Bürzer, Andrea</t>
  </si>
  <si>
    <t>Ernst, Norbert</t>
  </si>
  <si>
    <t>Fellner, Martin</t>
  </si>
  <si>
    <t>Flammer, Regine</t>
  </si>
  <si>
    <t>Förster, Florian</t>
  </si>
  <si>
    <t>Friedrich, Michael</t>
  </si>
  <si>
    <t>Graßl, Michael</t>
  </si>
  <si>
    <t>Hauke, Alfred</t>
  </si>
  <si>
    <t>Hecker, Andreas</t>
  </si>
  <si>
    <t>Heel, Michael</t>
  </si>
  <si>
    <t>Horvath, Rita</t>
  </si>
  <si>
    <t>Jompan, Ovidiu</t>
  </si>
  <si>
    <t>Käser, Gerhard</t>
  </si>
  <si>
    <t>Kegel, Alexandra</t>
  </si>
  <si>
    <t>Kegel, Melanie</t>
  </si>
  <si>
    <t>Kihrioglo, Bahadir</t>
  </si>
  <si>
    <t>Linha, Jaromir</t>
  </si>
  <si>
    <t>Noel, Gerhard</t>
  </si>
  <si>
    <t>Orland, Franz</t>
  </si>
  <si>
    <t>Ötzmann, Bernd</t>
  </si>
  <si>
    <t>Prietzel, Jutta</t>
  </si>
  <si>
    <t>Quade, Richard</t>
  </si>
  <si>
    <t>Roth, Andreas</t>
  </si>
  <si>
    <t>Scheungrab, Carola</t>
  </si>
  <si>
    <t>Schmid, Hans</t>
  </si>
  <si>
    <t>Schmidbauer, Michael</t>
  </si>
  <si>
    <t>Sixt, Michael</t>
  </si>
  <si>
    <t>Staude, Andrea</t>
  </si>
  <si>
    <t>Stöger, Michael</t>
  </si>
  <si>
    <t>Stöger, Regine</t>
  </si>
  <si>
    <t>Straubmeier, Gabi</t>
  </si>
  <si>
    <t>Truong, Due Khue</t>
  </si>
  <si>
    <t>Ugurelli, Ahmet</t>
  </si>
  <si>
    <t>Veit, Martina</t>
  </si>
  <si>
    <t>Veit, Ulrich</t>
  </si>
  <si>
    <t>Wintermann, Anthony-Eugen</t>
  </si>
  <si>
    <t>Zappe, Peter</t>
  </si>
  <si>
    <t>Zickmantel, Thomas</t>
  </si>
  <si>
    <t>Bleck, Heinz</t>
  </si>
  <si>
    <t>PP Unterhaching</t>
  </si>
  <si>
    <t>Chiavetta, Silvestro</t>
  </si>
  <si>
    <t>Degler, Michael</t>
  </si>
  <si>
    <t>Di Corleto, Nicola</t>
  </si>
  <si>
    <t>Friedl, Joachim</t>
  </si>
  <si>
    <t>Fuchs, Reinhard</t>
  </si>
  <si>
    <t>Graßberger, Franz</t>
  </si>
  <si>
    <t>Graßberger, Martin</t>
  </si>
  <si>
    <t>Gruschcyk, Mark</t>
  </si>
  <si>
    <t>Hammele, Alexander</t>
  </si>
  <si>
    <t>Kraumann, Patrick</t>
  </si>
  <si>
    <t>Sollinger, Helmut sen.</t>
  </si>
  <si>
    <t>Sollinger, Marie-Luise</t>
  </si>
  <si>
    <t>Sollinger jun., Helmut</t>
  </si>
  <si>
    <t>Spieler, Andreas</t>
  </si>
  <si>
    <t>Ucluok, Cem</t>
  </si>
  <si>
    <t>Vogt, Rüdiger</t>
  </si>
  <si>
    <t>Walcher, Reinhard</t>
  </si>
  <si>
    <t>Adlhart, Martin</t>
  </si>
  <si>
    <t>Rottach Breakers</t>
  </si>
  <si>
    <t>Auer, Sepp</t>
  </si>
  <si>
    <t>Aumann, Domenik</t>
  </si>
  <si>
    <t>Behrens, Christian</t>
  </si>
  <si>
    <t>Binder, Thomas</t>
  </si>
  <si>
    <t>Cialdini, Caroline</t>
  </si>
  <si>
    <t>D'Alto, Daniel Sergio</t>
  </si>
  <si>
    <t>Deisenrieder, Domenik</t>
  </si>
  <si>
    <t>Ehm, Marinus</t>
  </si>
  <si>
    <t>Erkoc, Gökhan</t>
  </si>
  <si>
    <t>Ettstaller, Rudi</t>
  </si>
  <si>
    <t>Götschl, Andreas</t>
  </si>
  <si>
    <t>Hausperger, Caroline</t>
  </si>
  <si>
    <t>Hoffmann, Jens</t>
  </si>
  <si>
    <t>Hösl, Ralph</t>
  </si>
  <si>
    <t>Huber, Matthias</t>
  </si>
  <si>
    <t>John-Lindenthaler, Martin</t>
  </si>
  <si>
    <t>Kanzler, Sebastian</t>
  </si>
  <si>
    <t>Karas, Andreas</t>
  </si>
  <si>
    <t>Königer, Klaus</t>
  </si>
  <si>
    <t>Kröll, Xaverl</t>
  </si>
  <si>
    <t>Kurt, Hakan</t>
  </si>
  <si>
    <t>Kurt, Volkan</t>
  </si>
  <si>
    <t>Lambri, Maurizio</t>
  </si>
  <si>
    <t>Leibig, Tobias</t>
  </si>
  <si>
    <t>Maier, Benedikt</t>
  </si>
  <si>
    <t>Menhofer, Seppi</t>
  </si>
  <si>
    <t>Mulaosmanovic, Denim</t>
  </si>
  <si>
    <t>Neumann, Hildegard</t>
  </si>
  <si>
    <t>Oberleitner, Adrian</t>
  </si>
  <si>
    <t>Porer, Andreas</t>
  </si>
  <si>
    <t>Richter, Bernhard</t>
  </si>
  <si>
    <t>Riedel, Bettina</t>
  </si>
  <si>
    <t>Rötzer, Regina</t>
  </si>
  <si>
    <t>Rowold, Andreas</t>
  </si>
  <si>
    <t>Schacht, Bernd</t>
  </si>
  <si>
    <t>Servatius, Nicole</t>
  </si>
  <si>
    <t>Stickl, Thomas</t>
  </si>
  <si>
    <t>Trenz, Johannes</t>
  </si>
  <si>
    <t>Weege, Thorsten</t>
  </si>
  <si>
    <t>Winkler, Florian</t>
  </si>
  <si>
    <t>Zimmermann, Tobias</t>
  </si>
  <si>
    <t>Zwickl, Florian</t>
  </si>
  <si>
    <t>Beh, Christian</t>
  </si>
  <si>
    <t>PW Holzkirchen</t>
  </si>
  <si>
    <t>Eigstler, Thomas</t>
  </si>
  <si>
    <t>Eiler, Margret</t>
  </si>
  <si>
    <t>Gabriele, Gerald</t>
  </si>
  <si>
    <t>Hepp, Michael</t>
  </si>
  <si>
    <t>Huber, Andreas</t>
  </si>
  <si>
    <t>Imhoff, Jan</t>
  </si>
  <si>
    <t>Kallup, Christian</t>
  </si>
  <si>
    <t>Kern, Martin</t>
  </si>
  <si>
    <t>letzter Stand 25.09.2009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</si>
</sst>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"/>
    <numFmt numFmtId="174" formatCode="0.000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#,##0.00\ [$€-1]"/>
    <numFmt numFmtId="182" formatCode="[$-407]dddd\,\ d\.\ mmmm\ yyyy"/>
    <numFmt numFmtId="183" formatCode="#,##0\ [$€-1]"/>
    <numFmt numFmtId="184" formatCode="#,##0\ &quot;DM&quot;"/>
    <numFmt numFmtId="185" formatCode="_-* #,##0.00\ [$€-1]_-;\-* #,##0.00\ [$€-1]_-;_-* &quot;-&quot;??\ [$€-1]_-"/>
    <numFmt numFmtId="186" formatCode="#,##0\ [$€-1];\-#,##0\ [$€-1]"/>
    <numFmt numFmtId="187" formatCode="#,##0.0\ [$€-1]"/>
    <numFmt numFmtId="188" formatCode="0.0%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h:mm:ss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  <numFmt numFmtId="197" formatCode="h:mm:ss;@"/>
  </numFmts>
  <fonts count="61">
    <font>
      <sz val="10"/>
      <name val="Arial"/>
      <family val="0"/>
    </font>
    <font>
      <sz val="12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sz val="24"/>
      <name val="Arial"/>
      <family val="0"/>
    </font>
    <font>
      <sz val="7"/>
      <name val="Arial"/>
      <family val="2"/>
    </font>
    <font>
      <sz val="7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5"/>
      <name val="Arial"/>
      <family val="2"/>
    </font>
    <font>
      <sz val="7.5"/>
      <name val="Arial"/>
      <family val="2"/>
    </font>
    <font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b/>
      <sz val="9"/>
      <color indexed="28"/>
      <name val="Verdana"/>
      <family val="2"/>
    </font>
    <font>
      <b/>
      <sz val="12"/>
      <color indexed="8"/>
      <name val="Arial"/>
      <family val="2"/>
    </font>
    <font>
      <sz val="10"/>
      <color indexed="9"/>
      <name val="Arial"/>
      <family val="0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7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15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259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>
      <alignment horizontal="center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2" fontId="0" fillId="0" borderId="10" xfId="0" applyNumberFormat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2" fontId="0" fillId="0" borderId="14" xfId="0" applyNumberFormat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2" fontId="0" fillId="0" borderId="12" xfId="0" applyNumberFormat="1" applyBorder="1" applyAlignment="1" applyProtection="1">
      <alignment/>
      <protection hidden="1"/>
    </xf>
    <xf numFmtId="1" fontId="0" fillId="0" borderId="10" xfId="0" applyNumberFormat="1" applyBorder="1" applyAlignment="1" applyProtection="1">
      <alignment/>
      <protection hidden="1"/>
    </xf>
    <xf numFmtId="1" fontId="0" fillId="0" borderId="14" xfId="0" applyNumberFormat="1" applyBorder="1" applyAlignment="1" applyProtection="1">
      <alignment/>
      <protection hidden="1"/>
    </xf>
    <xf numFmtId="1" fontId="0" fillId="0" borderId="12" xfId="0" applyNumberFormat="1" applyBorder="1" applyAlignment="1" applyProtection="1">
      <alignment/>
      <protection hidden="1"/>
    </xf>
    <xf numFmtId="0" fontId="0" fillId="33" borderId="16" xfId="0" applyFill="1" applyBorder="1" applyAlignment="1" applyProtection="1">
      <alignment/>
      <protection hidden="1"/>
    </xf>
    <xf numFmtId="0" fontId="0" fillId="33" borderId="17" xfId="0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/>
      <protection hidden="1"/>
    </xf>
    <xf numFmtId="0" fontId="0" fillId="33" borderId="19" xfId="0" applyFill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1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2" fontId="0" fillId="33" borderId="17" xfId="0" applyNumberFormat="1" applyFill="1" applyBorder="1" applyAlignment="1" applyProtection="1">
      <alignment/>
      <protection hidden="1"/>
    </xf>
    <xf numFmtId="0" fontId="0" fillId="0" borderId="21" xfId="0" applyFont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/>
      <protection hidden="1"/>
    </xf>
    <xf numFmtId="0" fontId="0" fillId="34" borderId="12" xfId="0" applyFont="1" applyFill="1" applyBorder="1" applyAlignment="1" applyProtection="1">
      <alignment/>
      <protection hidden="1"/>
    </xf>
    <xf numFmtId="0" fontId="0" fillId="0" borderId="12" xfId="0" applyFont="1" applyFill="1" applyBorder="1" applyAlignment="1" applyProtection="1">
      <alignment/>
      <protection hidden="1"/>
    </xf>
    <xf numFmtId="0" fontId="0" fillId="34" borderId="23" xfId="0" applyFont="1" applyFill="1" applyBorder="1" applyAlignment="1" applyProtection="1">
      <alignment/>
      <protection hidden="1"/>
    </xf>
    <xf numFmtId="0" fontId="0" fillId="0" borderId="23" xfId="0" applyFont="1" applyFill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0" fontId="1" fillId="34" borderId="25" xfId="0" applyFont="1" applyFill="1" applyBorder="1" applyAlignment="1" applyProtection="1">
      <alignment/>
      <protection hidden="1"/>
    </xf>
    <xf numFmtId="0" fontId="1" fillId="34" borderId="26" xfId="0" applyFont="1" applyFill="1" applyBorder="1" applyAlignment="1" applyProtection="1">
      <alignment/>
      <protection hidden="1"/>
    </xf>
    <xf numFmtId="0" fontId="1" fillId="34" borderId="27" xfId="0" applyFont="1" applyFill="1" applyBorder="1" applyAlignment="1" applyProtection="1">
      <alignment/>
      <protection hidden="1"/>
    </xf>
    <xf numFmtId="0" fontId="4" fillId="0" borderId="0" xfId="0" applyFont="1" applyAlignment="1">
      <alignment horizontal="center"/>
    </xf>
    <xf numFmtId="0" fontId="4" fillId="35" borderId="28" xfId="0" applyFont="1" applyFill="1" applyBorder="1" applyAlignment="1">
      <alignment horizontal="center"/>
    </xf>
    <xf numFmtId="0" fontId="0" fillId="36" borderId="19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33" borderId="29" xfId="0" applyFill="1" applyBorder="1" applyAlignment="1">
      <alignment/>
    </xf>
    <xf numFmtId="0" fontId="0" fillId="0" borderId="27" xfId="0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30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hidden="1"/>
    </xf>
    <xf numFmtId="0" fontId="0" fillId="0" borderId="32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2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21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34" borderId="33" xfId="0" applyFont="1" applyFill="1" applyBorder="1" applyAlignment="1" applyProtection="1">
      <alignment horizontal="center"/>
      <protection hidden="1"/>
    </xf>
    <xf numFmtId="0" fontId="11" fillId="34" borderId="34" xfId="0" applyFont="1" applyFill="1" applyBorder="1" applyAlignment="1" applyProtection="1">
      <alignment/>
      <protection hidden="1"/>
    </xf>
    <xf numFmtId="0" fontId="11" fillId="34" borderId="35" xfId="0" applyFont="1" applyFill="1" applyBorder="1" applyAlignment="1" applyProtection="1">
      <alignment/>
      <protection hidden="1"/>
    </xf>
    <xf numFmtId="0" fontId="11" fillId="37" borderId="28" xfId="0" applyFont="1" applyFill="1" applyBorder="1" applyAlignment="1" applyProtection="1">
      <alignment/>
      <protection hidden="1"/>
    </xf>
    <xf numFmtId="0" fontId="11" fillId="34" borderId="36" xfId="0" applyFont="1" applyFill="1" applyBorder="1" applyAlignment="1" applyProtection="1">
      <alignment horizontal="center"/>
      <protection hidden="1"/>
    </xf>
    <xf numFmtId="0" fontId="11" fillId="37" borderId="30" xfId="0" applyFont="1" applyFill="1" applyBorder="1" applyAlignment="1" applyProtection="1">
      <alignment/>
      <protection hidden="1"/>
    </xf>
    <xf numFmtId="0" fontId="11" fillId="37" borderId="15" xfId="0" applyFont="1" applyFill="1" applyBorder="1" applyAlignment="1" applyProtection="1">
      <alignment/>
      <protection hidden="1"/>
    </xf>
    <xf numFmtId="0" fontId="11" fillId="37" borderId="30" xfId="0" applyFont="1" applyFill="1" applyBorder="1" applyAlignment="1" applyProtection="1">
      <alignment horizontal="center"/>
      <protection locked="0"/>
    </xf>
    <xf numFmtId="0" fontId="11" fillId="37" borderId="14" xfId="0" applyFont="1" applyFill="1" applyBorder="1" applyAlignment="1" applyProtection="1">
      <alignment horizontal="center"/>
      <protection locked="0"/>
    </xf>
    <xf numFmtId="0" fontId="11" fillId="37" borderId="15" xfId="0" applyFont="1" applyFill="1" applyBorder="1" applyAlignment="1" applyProtection="1">
      <alignment horizontal="center"/>
      <protection locked="0"/>
    </xf>
    <xf numFmtId="0" fontId="11" fillId="38" borderId="33" xfId="0" applyFont="1" applyFill="1" applyBorder="1" applyAlignment="1" applyProtection="1">
      <alignment horizontal="center"/>
      <protection locked="0"/>
    </xf>
    <xf numFmtId="0" fontId="11" fillId="37" borderId="31" xfId="0" applyFont="1" applyFill="1" applyBorder="1" applyAlignment="1" applyProtection="1">
      <alignment/>
      <protection hidden="1"/>
    </xf>
    <xf numFmtId="0" fontId="11" fillId="37" borderId="11" xfId="0" applyFont="1" applyFill="1" applyBorder="1" applyAlignment="1" applyProtection="1">
      <alignment/>
      <protection hidden="1"/>
    </xf>
    <xf numFmtId="0" fontId="11" fillId="37" borderId="31" xfId="0" applyFont="1" applyFill="1" applyBorder="1" applyAlignment="1" applyProtection="1">
      <alignment horizontal="center"/>
      <protection locked="0"/>
    </xf>
    <xf numFmtId="0" fontId="11" fillId="37" borderId="10" xfId="0" applyFont="1" applyFill="1" applyBorder="1" applyAlignment="1" applyProtection="1">
      <alignment horizontal="center"/>
      <protection locked="0"/>
    </xf>
    <xf numFmtId="0" fontId="11" fillId="37" borderId="11" xfId="0" applyFont="1" applyFill="1" applyBorder="1" applyAlignment="1" applyProtection="1">
      <alignment horizontal="center"/>
      <protection locked="0"/>
    </xf>
    <xf numFmtId="0" fontId="11" fillId="37" borderId="32" xfId="0" applyFont="1" applyFill="1" applyBorder="1" applyAlignment="1" applyProtection="1">
      <alignment/>
      <protection hidden="1"/>
    </xf>
    <xf numFmtId="0" fontId="11" fillId="37" borderId="13" xfId="0" applyFont="1" applyFill="1" applyBorder="1" applyAlignment="1" applyProtection="1">
      <alignment/>
      <protection hidden="1"/>
    </xf>
    <xf numFmtId="0" fontId="11" fillId="37" borderId="12" xfId="0" applyFont="1" applyFill="1" applyBorder="1" applyAlignment="1" applyProtection="1">
      <alignment horizontal="center"/>
      <protection locked="0"/>
    </xf>
    <xf numFmtId="0" fontId="11" fillId="37" borderId="13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left"/>
      <protection hidden="1"/>
    </xf>
    <xf numFmtId="0" fontId="11" fillId="39" borderId="28" xfId="0" applyFont="1" applyFill="1" applyBorder="1" applyAlignment="1" applyProtection="1">
      <alignment/>
      <protection hidden="1"/>
    </xf>
    <xf numFmtId="0" fontId="11" fillId="39" borderId="30" xfId="0" applyFont="1" applyFill="1" applyBorder="1" applyAlignment="1" applyProtection="1">
      <alignment/>
      <protection hidden="1"/>
    </xf>
    <xf numFmtId="0" fontId="11" fillId="39" borderId="15" xfId="0" applyFont="1" applyFill="1" applyBorder="1" applyAlignment="1" applyProtection="1">
      <alignment/>
      <protection hidden="1"/>
    </xf>
    <xf numFmtId="0" fontId="11" fillId="39" borderId="14" xfId="0" applyFont="1" applyFill="1" applyBorder="1" applyAlignment="1" applyProtection="1">
      <alignment horizontal="center"/>
      <protection locked="0"/>
    </xf>
    <xf numFmtId="0" fontId="11" fillId="39" borderId="15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left"/>
      <protection hidden="1"/>
    </xf>
    <xf numFmtId="0" fontId="11" fillId="39" borderId="31" xfId="0" applyFont="1" applyFill="1" applyBorder="1" applyAlignment="1" applyProtection="1">
      <alignment/>
      <protection hidden="1"/>
    </xf>
    <xf numFmtId="0" fontId="11" fillId="39" borderId="11" xfId="0" applyFont="1" applyFill="1" applyBorder="1" applyAlignment="1" applyProtection="1">
      <alignment/>
      <protection hidden="1"/>
    </xf>
    <xf numFmtId="0" fontId="11" fillId="39" borderId="10" xfId="0" applyFont="1" applyFill="1" applyBorder="1" applyAlignment="1" applyProtection="1">
      <alignment horizontal="center"/>
      <protection locked="0"/>
    </xf>
    <xf numFmtId="0" fontId="11" fillId="39" borderId="11" xfId="0" applyFont="1" applyFill="1" applyBorder="1" applyAlignment="1" applyProtection="1">
      <alignment horizontal="center"/>
      <protection locked="0"/>
    </xf>
    <xf numFmtId="0" fontId="11" fillId="39" borderId="32" xfId="0" applyFont="1" applyFill="1" applyBorder="1" applyAlignment="1" applyProtection="1">
      <alignment/>
      <protection hidden="1"/>
    </xf>
    <xf numFmtId="0" fontId="11" fillId="39" borderId="13" xfId="0" applyFont="1" applyFill="1" applyBorder="1" applyAlignment="1" applyProtection="1">
      <alignment/>
      <protection hidden="1"/>
    </xf>
    <xf numFmtId="0" fontId="11" fillId="39" borderId="12" xfId="0" applyFont="1" applyFill="1" applyBorder="1" applyAlignment="1" applyProtection="1">
      <alignment horizontal="center"/>
      <protection locked="0"/>
    </xf>
    <xf numFmtId="0" fontId="11" fillId="39" borderId="13" xfId="0" applyFont="1" applyFill="1" applyBorder="1" applyAlignment="1" applyProtection="1">
      <alignment horizontal="center"/>
      <protection locked="0"/>
    </xf>
    <xf numFmtId="0" fontId="11" fillId="36" borderId="28" xfId="0" applyFont="1" applyFill="1" applyBorder="1" applyAlignment="1" applyProtection="1">
      <alignment/>
      <protection hidden="1"/>
    </xf>
    <xf numFmtId="0" fontId="11" fillId="40" borderId="14" xfId="0" applyFont="1" applyFill="1" applyBorder="1" applyAlignment="1" applyProtection="1">
      <alignment horizontal="center"/>
      <protection locked="0"/>
    </xf>
    <xf numFmtId="0" fontId="11" fillId="40" borderId="15" xfId="0" applyFont="1" applyFill="1" applyBorder="1" applyAlignment="1" applyProtection="1">
      <alignment horizontal="center"/>
      <protection locked="0"/>
    </xf>
    <xf numFmtId="0" fontId="11" fillId="40" borderId="10" xfId="0" applyFont="1" applyFill="1" applyBorder="1" applyAlignment="1" applyProtection="1">
      <alignment horizontal="center"/>
      <protection locked="0"/>
    </xf>
    <xf numFmtId="0" fontId="11" fillId="40" borderId="11" xfId="0" applyFont="1" applyFill="1" applyBorder="1" applyAlignment="1" applyProtection="1">
      <alignment horizontal="center"/>
      <protection locked="0"/>
    </xf>
    <xf numFmtId="0" fontId="11" fillId="40" borderId="12" xfId="0" applyFont="1" applyFill="1" applyBorder="1" applyAlignment="1" applyProtection="1">
      <alignment horizontal="center"/>
      <protection locked="0"/>
    </xf>
    <xf numFmtId="0" fontId="11" fillId="40" borderId="13" xfId="0" applyFont="1" applyFill="1" applyBorder="1" applyAlignment="1" applyProtection="1">
      <alignment horizontal="center"/>
      <protection locked="0"/>
    </xf>
    <xf numFmtId="0" fontId="11" fillId="34" borderId="37" xfId="0" applyFont="1" applyFill="1" applyBorder="1" applyAlignment="1" applyProtection="1">
      <alignment horizontal="center"/>
      <protection hidden="1"/>
    </xf>
    <xf numFmtId="0" fontId="11" fillId="39" borderId="30" xfId="0" applyNumberFormat="1" applyFont="1" applyFill="1" applyBorder="1" applyAlignment="1" applyProtection="1">
      <alignment/>
      <protection hidden="1"/>
    </xf>
    <xf numFmtId="0" fontId="11" fillId="39" borderId="23" xfId="0" applyFont="1" applyFill="1" applyBorder="1" applyAlignment="1" applyProtection="1">
      <alignment horizontal="center"/>
      <protection locked="0"/>
    </xf>
    <xf numFmtId="0" fontId="11" fillId="39" borderId="24" xfId="0" applyFont="1" applyFill="1" applyBorder="1" applyAlignment="1" applyProtection="1">
      <alignment horizontal="center"/>
      <protection locked="0"/>
    </xf>
    <xf numFmtId="0" fontId="11" fillId="33" borderId="16" xfId="0" applyFont="1" applyFill="1" applyBorder="1" applyAlignment="1" applyProtection="1">
      <alignment/>
      <protection hidden="1"/>
    </xf>
    <xf numFmtId="0" fontId="11" fillId="33" borderId="17" xfId="0" applyFont="1" applyFill="1" applyBorder="1" applyAlignment="1" applyProtection="1">
      <alignment/>
      <protection hidden="1"/>
    </xf>
    <xf numFmtId="1" fontId="11" fillId="33" borderId="17" xfId="0" applyNumberFormat="1" applyFont="1" applyFill="1" applyBorder="1" applyAlignment="1" applyProtection="1">
      <alignment/>
      <protection hidden="1"/>
    </xf>
    <xf numFmtId="0" fontId="11" fillId="33" borderId="18" xfId="0" applyFont="1" applyFill="1" applyBorder="1" applyAlignment="1" applyProtection="1">
      <alignment/>
      <protection hidden="1"/>
    </xf>
    <xf numFmtId="0" fontId="11" fillId="39" borderId="31" xfId="0" applyNumberFormat="1" applyFont="1" applyFill="1" applyBorder="1" applyAlignment="1" applyProtection="1">
      <alignment/>
      <protection hidden="1"/>
    </xf>
    <xf numFmtId="0" fontId="11" fillId="0" borderId="30" xfId="0" applyFont="1" applyBorder="1" applyAlignment="1" applyProtection="1">
      <alignment/>
      <protection hidden="1"/>
    </xf>
    <xf numFmtId="0" fontId="11" fillId="0" borderId="14" xfId="0" applyFont="1" applyBorder="1" applyAlignment="1" applyProtection="1">
      <alignment/>
      <protection hidden="1"/>
    </xf>
    <xf numFmtId="1" fontId="11" fillId="0" borderId="14" xfId="0" applyNumberFormat="1" applyFont="1" applyBorder="1" applyAlignment="1" applyProtection="1">
      <alignment/>
      <protection hidden="1"/>
    </xf>
    <xf numFmtId="2" fontId="11" fillId="0" borderId="14" xfId="0" applyNumberFormat="1" applyFont="1" applyBorder="1" applyAlignment="1" applyProtection="1">
      <alignment/>
      <protection hidden="1"/>
    </xf>
    <xf numFmtId="0" fontId="11" fillId="0" borderId="31" xfId="0" applyFont="1" applyBorder="1" applyAlignment="1" applyProtection="1">
      <alignment/>
      <protection hidden="1"/>
    </xf>
    <xf numFmtId="0" fontId="11" fillId="0" borderId="10" xfId="0" applyFont="1" applyBorder="1" applyAlignment="1" applyProtection="1">
      <alignment/>
      <protection hidden="1"/>
    </xf>
    <xf numFmtId="1" fontId="11" fillId="0" borderId="10" xfId="0" applyNumberFormat="1" applyFont="1" applyBorder="1" applyAlignment="1" applyProtection="1">
      <alignment/>
      <protection hidden="1"/>
    </xf>
    <xf numFmtId="2" fontId="11" fillId="0" borderId="10" xfId="0" applyNumberFormat="1" applyFont="1" applyBorder="1" applyAlignment="1" applyProtection="1">
      <alignment/>
      <protection hidden="1"/>
    </xf>
    <xf numFmtId="0" fontId="11" fillId="0" borderId="11" xfId="0" applyFont="1" applyBorder="1" applyAlignment="1" applyProtection="1">
      <alignment/>
      <protection hidden="1"/>
    </xf>
    <xf numFmtId="0" fontId="11" fillId="39" borderId="32" xfId="0" applyNumberFormat="1" applyFont="1" applyFill="1" applyBorder="1" applyAlignment="1" applyProtection="1">
      <alignment/>
      <protection hidden="1"/>
    </xf>
    <xf numFmtId="0" fontId="11" fillId="39" borderId="38" xfId="0" applyNumberFormat="1" applyFont="1" applyFill="1" applyBorder="1" applyAlignment="1" applyProtection="1">
      <alignment/>
      <protection hidden="1"/>
    </xf>
    <xf numFmtId="0" fontId="11" fillId="39" borderId="24" xfId="0" applyNumberFormat="1" applyFont="1" applyFill="1" applyBorder="1" applyAlignment="1" applyProtection="1">
      <alignment/>
      <protection hidden="1"/>
    </xf>
    <xf numFmtId="0" fontId="11" fillId="39" borderId="39" xfId="0" applyNumberFormat="1" applyFont="1" applyFill="1" applyBorder="1" applyAlignment="1" applyProtection="1">
      <alignment/>
      <protection hidden="1"/>
    </xf>
    <xf numFmtId="0" fontId="11" fillId="39" borderId="40" xfId="0" applyNumberFormat="1" applyFont="1" applyFill="1" applyBorder="1" applyAlignment="1" applyProtection="1">
      <alignment/>
      <protection hidden="1"/>
    </xf>
    <xf numFmtId="0" fontId="11" fillId="40" borderId="30" xfId="0" applyNumberFormat="1" applyFont="1" applyFill="1" applyBorder="1" applyAlignment="1" applyProtection="1">
      <alignment/>
      <protection hidden="1"/>
    </xf>
    <xf numFmtId="0" fontId="11" fillId="40" borderId="15" xfId="0" applyNumberFormat="1" applyFont="1" applyFill="1" applyBorder="1" applyAlignment="1" applyProtection="1">
      <alignment/>
      <protection hidden="1"/>
    </xf>
    <xf numFmtId="0" fontId="11" fillId="40" borderId="31" xfId="0" applyNumberFormat="1" applyFont="1" applyFill="1" applyBorder="1" applyAlignment="1" applyProtection="1">
      <alignment/>
      <protection hidden="1"/>
    </xf>
    <xf numFmtId="0" fontId="11" fillId="40" borderId="11" xfId="0" applyNumberFormat="1" applyFont="1" applyFill="1" applyBorder="1" applyAlignment="1" applyProtection="1">
      <alignment/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11" fillId="40" borderId="32" xfId="0" applyNumberFormat="1" applyFont="1" applyFill="1" applyBorder="1" applyAlignment="1" applyProtection="1">
      <alignment/>
      <protection hidden="1"/>
    </xf>
    <xf numFmtId="0" fontId="11" fillId="40" borderId="13" xfId="0" applyNumberFormat="1" applyFont="1" applyFill="1" applyBorder="1" applyAlignment="1" applyProtection="1">
      <alignment/>
      <protection hidden="1"/>
    </xf>
    <xf numFmtId="0" fontId="11" fillId="40" borderId="41" xfId="0" applyFont="1" applyFill="1" applyBorder="1" applyAlignment="1" applyProtection="1">
      <alignment horizontal="center"/>
      <protection locked="0"/>
    </xf>
    <xf numFmtId="0" fontId="11" fillId="40" borderId="42" xfId="0" applyFont="1" applyFill="1" applyBorder="1" applyAlignment="1" applyProtection="1">
      <alignment horizontal="center"/>
      <protection locked="0"/>
    </xf>
    <xf numFmtId="0" fontId="11" fillId="39" borderId="43" xfId="0" applyNumberFormat="1" applyFont="1" applyFill="1" applyBorder="1" applyAlignment="1" applyProtection="1">
      <alignment/>
      <protection hidden="1"/>
    </xf>
    <xf numFmtId="0" fontId="11" fillId="39" borderId="15" xfId="0" applyNumberFormat="1" applyFont="1" applyFill="1" applyBorder="1" applyAlignment="1" applyProtection="1">
      <alignment/>
      <protection hidden="1"/>
    </xf>
    <xf numFmtId="0" fontId="11" fillId="39" borderId="11" xfId="0" applyNumberFormat="1" applyFont="1" applyFill="1" applyBorder="1" applyAlignment="1" applyProtection="1">
      <alignment/>
      <protection hidden="1"/>
    </xf>
    <xf numFmtId="0" fontId="11" fillId="39" borderId="44" xfId="0" applyNumberFormat="1" applyFont="1" applyFill="1" applyBorder="1" applyAlignment="1" applyProtection="1">
      <alignment/>
      <protection hidden="1"/>
    </xf>
    <xf numFmtId="0" fontId="11" fillId="39" borderId="42" xfId="0" applyNumberFormat="1" applyFont="1" applyFill="1" applyBorder="1" applyAlignment="1" applyProtection="1">
      <alignment/>
      <protection hidden="1"/>
    </xf>
    <xf numFmtId="0" fontId="11" fillId="40" borderId="23" xfId="0" applyFont="1" applyFill="1" applyBorder="1" applyAlignment="1" applyProtection="1">
      <alignment horizontal="center"/>
      <protection locked="0"/>
    </xf>
    <xf numFmtId="0" fontId="11" fillId="40" borderId="44" xfId="0" applyNumberFormat="1" applyFont="1" applyFill="1" applyBorder="1" applyAlignment="1" applyProtection="1">
      <alignment/>
      <protection hidden="1"/>
    </xf>
    <xf numFmtId="0" fontId="11" fillId="40" borderId="42" xfId="0" applyNumberFormat="1" applyFont="1" applyFill="1" applyBorder="1" applyAlignment="1" applyProtection="1">
      <alignment/>
      <protection hidden="1"/>
    </xf>
    <xf numFmtId="0" fontId="11" fillId="39" borderId="13" xfId="0" applyNumberFormat="1" applyFont="1" applyFill="1" applyBorder="1" applyAlignment="1" applyProtection="1">
      <alignment/>
      <protection hidden="1"/>
    </xf>
    <xf numFmtId="0" fontId="11" fillId="34" borderId="45" xfId="0" applyFont="1" applyFill="1" applyBorder="1" applyAlignment="1" applyProtection="1">
      <alignment horizontal="center"/>
      <protection hidden="1"/>
    </xf>
    <xf numFmtId="0" fontId="11" fillId="39" borderId="46" xfId="0" applyNumberFormat="1" applyFont="1" applyFill="1" applyBorder="1" applyAlignment="1" applyProtection="1">
      <alignment/>
      <protection hidden="1"/>
    </xf>
    <xf numFmtId="0" fontId="11" fillId="39" borderId="26" xfId="0" applyFont="1" applyFill="1" applyBorder="1" applyAlignment="1" applyProtection="1">
      <alignment horizontal="center"/>
      <protection locked="0"/>
    </xf>
    <xf numFmtId="0" fontId="11" fillId="40" borderId="47" xfId="0" applyNumberFormat="1" applyFont="1" applyFill="1" applyBorder="1" applyAlignment="1" applyProtection="1">
      <alignment/>
      <protection hidden="1"/>
    </xf>
    <xf numFmtId="0" fontId="11" fillId="40" borderId="26" xfId="0" applyFont="1" applyFill="1" applyBorder="1" applyAlignment="1" applyProtection="1">
      <alignment horizontal="center"/>
      <protection locked="0"/>
    </xf>
    <xf numFmtId="0" fontId="11" fillId="39" borderId="47" xfId="0" applyNumberFormat="1" applyFont="1" applyFill="1" applyBorder="1" applyAlignment="1" applyProtection="1">
      <alignment/>
      <protection hidden="1"/>
    </xf>
    <xf numFmtId="0" fontId="11" fillId="37" borderId="47" xfId="0" applyNumberFormat="1" applyFont="1" applyFill="1" applyBorder="1" applyAlignment="1" applyProtection="1">
      <alignment/>
      <protection hidden="1"/>
    </xf>
    <xf numFmtId="0" fontId="11" fillId="37" borderId="26" xfId="0" applyFont="1" applyFill="1" applyBorder="1" applyAlignment="1" applyProtection="1">
      <alignment horizontal="center"/>
      <protection locked="0"/>
    </xf>
    <xf numFmtId="0" fontId="11" fillId="37" borderId="48" xfId="0" applyFont="1" applyFill="1" applyBorder="1" applyAlignment="1" applyProtection="1">
      <alignment/>
      <protection hidden="1"/>
    </xf>
    <xf numFmtId="0" fontId="11" fillId="34" borderId="49" xfId="0" applyFont="1" applyFill="1" applyBorder="1" applyAlignment="1" applyProtection="1">
      <alignment horizontal="center"/>
      <protection hidden="1"/>
    </xf>
    <xf numFmtId="0" fontId="11" fillId="37" borderId="46" xfId="0" applyNumberFormat="1" applyFont="1" applyFill="1" applyBorder="1" applyAlignment="1" applyProtection="1">
      <alignment/>
      <protection hidden="1"/>
    </xf>
    <xf numFmtId="0" fontId="11" fillId="37" borderId="50" xfId="0" applyFont="1" applyFill="1" applyBorder="1" applyAlignment="1" applyProtection="1">
      <alignment horizontal="center"/>
      <protection locked="0"/>
    </xf>
    <xf numFmtId="0" fontId="11" fillId="0" borderId="32" xfId="0" applyFont="1" applyBorder="1" applyAlignment="1" applyProtection="1">
      <alignment/>
      <protection hidden="1"/>
    </xf>
    <xf numFmtId="0" fontId="11" fillId="0" borderId="12" xfId="0" applyFont="1" applyBorder="1" applyAlignment="1" applyProtection="1">
      <alignment/>
      <protection hidden="1"/>
    </xf>
    <xf numFmtId="1" fontId="11" fillId="0" borderId="12" xfId="0" applyNumberFormat="1" applyFont="1" applyBorder="1" applyAlignment="1" applyProtection="1">
      <alignment/>
      <protection hidden="1"/>
    </xf>
    <xf numFmtId="2" fontId="11" fillId="0" borderId="12" xfId="0" applyNumberFormat="1" applyFont="1" applyBorder="1" applyAlignment="1" applyProtection="1">
      <alignment/>
      <protection hidden="1"/>
    </xf>
    <xf numFmtId="0" fontId="11" fillId="0" borderId="13" xfId="0" applyFont="1" applyBorder="1" applyAlignment="1" applyProtection="1">
      <alignment/>
      <protection hidden="1"/>
    </xf>
    <xf numFmtId="0" fontId="15" fillId="41" borderId="51" xfId="53" applyFont="1" applyFill="1" applyBorder="1" applyAlignment="1">
      <alignment horizontal="center"/>
      <protection/>
    </xf>
    <xf numFmtId="0" fontId="15" fillId="0" borderId="52" xfId="53" applyFont="1" applyFill="1" applyBorder="1" applyAlignment="1">
      <alignment horizontal="left" wrapText="1"/>
      <protection/>
    </xf>
    <xf numFmtId="0" fontId="15" fillId="0" borderId="52" xfId="53" applyFont="1" applyFill="1" applyBorder="1" applyAlignment="1">
      <alignment horizontal="right" wrapText="1"/>
      <protection/>
    </xf>
    <xf numFmtId="0" fontId="11" fillId="34" borderId="19" xfId="0" applyFont="1" applyFill="1" applyBorder="1" applyAlignment="1" applyProtection="1">
      <alignment horizontal="center"/>
      <protection hidden="1"/>
    </xf>
    <xf numFmtId="0" fontId="11" fillId="34" borderId="35" xfId="0" applyFont="1" applyFill="1" applyBorder="1" applyAlignment="1" applyProtection="1">
      <alignment horizontal="center"/>
      <protection hidden="1"/>
    </xf>
    <xf numFmtId="0" fontId="11" fillId="34" borderId="17" xfId="0" applyFont="1" applyFill="1" applyBorder="1" applyAlignment="1" applyProtection="1">
      <alignment horizontal="center"/>
      <protection hidden="1"/>
    </xf>
    <xf numFmtId="0" fontId="11" fillId="34" borderId="18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1" fillId="42" borderId="53" xfId="0" applyFont="1" applyFill="1" applyBorder="1" applyAlignment="1" applyProtection="1">
      <alignment horizontal="center"/>
      <protection hidden="1"/>
    </xf>
    <xf numFmtId="0" fontId="11" fillId="43" borderId="54" xfId="0" applyFont="1" applyFill="1" applyBorder="1" applyAlignment="1" applyProtection="1">
      <alignment/>
      <protection hidden="1"/>
    </xf>
    <xf numFmtId="0" fontId="11" fillId="43" borderId="55" xfId="0" applyFont="1" applyFill="1" applyBorder="1" applyAlignment="1" applyProtection="1">
      <alignment/>
      <protection hidden="1"/>
    </xf>
    <xf numFmtId="0" fontId="11" fillId="43" borderId="56" xfId="0" applyFont="1" applyFill="1" applyBorder="1" applyAlignment="1" applyProtection="1">
      <alignment/>
      <protection hidden="1"/>
    </xf>
    <xf numFmtId="0" fontId="11" fillId="44" borderId="0" xfId="0" applyFont="1" applyFill="1" applyAlignment="1" applyProtection="1">
      <alignment/>
      <protection hidden="1"/>
    </xf>
    <xf numFmtId="2" fontId="11" fillId="0" borderId="0" xfId="0" applyNumberFormat="1" applyFont="1" applyAlignment="1" applyProtection="1">
      <alignment/>
      <protection hidden="1"/>
    </xf>
    <xf numFmtId="0" fontId="11" fillId="43" borderId="57" xfId="0" applyFont="1" applyFill="1" applyBorder="1" applyAlignment="1" applyProtection="1">
      <alignment/>
      <protection hidden="1"/>
    </xf>
    <xf numFmtId="0" fontId="11" fillId="43" borderId="0" xfId="0" applyFont="1" applyFill="1" applyBorder="1" applyAlignment="1" applyProtection="1">
      <alignment/>
      <protection hidden="1"/>
    </xf>
    <xf numFmtId="0" fontId="11" fillId="43" borderId="58" xfId="0" applyFont="1" applyFill="1" applyBorder="1" applyAlignment="1" applyProtection="1">
      <alignment/>
      <protection hidden="1"/>
    </xf>
    <xf numFmtId="0" fontId="11" fillId="40" borderId="30" xfId="0" applyFont="1" applyFill="1" applyBorder="1" applyAlignment="1" applyProtection="1">
      <alignment horizontal="left"/>
      <protection hidden="1"/>
    </xf>
    <xf numFmtId="0" fontId="11" fillId="40" borderId="31" xfId="0" applyFont="1" applyFill="1" applyBorder="1" applyAlignment="1" applyProtection="1">
      <alignment horizontal="left"/>
      <protection hidden="1"/>
    </xf>
    <xf numFmtId="0" fontId="11" fillId="40" borderId="44" xfId="0" applyFont="1" applyFill="1" applyBorder="1" applyAlignment="1" applyProtection="1">
      <alignment horizontal="left"/>
      <protection hidden="1"/>
    </xf>
    <xf numFmtId="0" fontId="11" fillId="43" borderId="43" xfId="0" applyFont="1" applyFill="1" applyBorder="1" applyAlignment="1" applyProtection="1">
      <alignment/>
      <protection hidden="1"/>
    </xf>
    <xf numFmtId="0" fontId="11" fillId="43" borderId="59" xfId="0" applyFont="1" applyFill="1" applyBorder="1" applyAlignment="1" applyProtection="1">
      <alignment/>
      <protection hidden="1"/>
    </xf>
    <xf numFmtId="0" fontId="11" fillId="43" borderId="60" xfId="0" applyFont="1" applyFill="1" applyBorder="1" applyAlignment="1" applyProtection="1">
      <alignment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1" fillId="34" borderId="10" xfId="0" applyFont="1" applyFill="1" applyBorder="1" applyAlignment="1" applyProtection="1">
      <alignment/>
      <protection hidden="1"/>
    </xf>
    <xf numFmtId="0" fontId="1" fillId="34" borderId="29" xfId="0" applyFont="1" applyFill="1" applyBorder="1" applyAlignment="1" applyProtection="1">
      <alignment horizontal="center"/>
      <protection hidden="1"/>
    </xf>
    <xf numFmtId="0" fontId="0" fillId="34" borderId="10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 locked="0"/>
    </xf>
    <xf numFmtId="0" fontId="16" fillId="45" borderId="53" xfId="0" applyFont="1" applyFill="1" applyBorder="1" applyAlignment="1" applyProtection="1">
      <alignment horizontal="left"/>
      <protection hidden="1"/>
    </xf>
    <xf numFmtId="0" fontId="16" fillId="45" borderId="61" xfId="0" applyFont="1" applyFill="1" applyBorder="1" applyAlignment="1" applyProtection="1">
      <alignment horizontal="center"/>
      <protection hidden="1"/>
    </xf>
    <xf numFmtId="0" fontId="0" fillId="33" borderId="33" xfId="0" applyFill="1" applyBorder="1" applyAlignment="1" applyProtection="1">
      <alignment horizontal="center"/>
      <protection hidden="1"/>
    </xf>
    <xf numFmtId="0" fontId="0" fillId="33" borderId="45" xfId="0" applyFill="1" applyBorder="1" applyAlignment="1" applyProtection="1">
      <alignment horizontal="center"/>
      <protection hidden="1"/>
    </xf>
    <xf numFmtId="0" fontId="0" fillId="33" borderId="49" xfId="0" applyFill="1" applyBorder="1" applyAlignment="1" applyProtection="1">
      <alignment horizontal="center"/>
      <protection hidden="1"/>
    </xf>
    <xf numFmtId="0" fontId="17" fillId="34" borderId="10" xfId="0" applyNumberFormat="1" applyFont="1" applyFill="1" applyBorder="1" applyAlignment="1" applyProtection="1">
      <alignment horizontal="center"/>
      <protection hidden="1"/>
    </xf>
    <xf numFmtId="193" fontId="17" fillId="38" borderId="10" xfId="0" applyNumberFormat="1" applyFont="1" applyFill="1" applyBorder="1" applyAlignment="1" applyProtection="1">
      <alignment horizontal="center"/>
      <protection hidden="1" locked="0"/>
    </xf>
    <xf numFmtId="193" fontId="17" fillId="38" borderId="10" xfId="0" applyNumberFormat="1" applyFont="1" applyFill="1" applyBorder="1" applyAlignment="1" applyProtection="1">
      <alignment horizontal="center"/>
      <protection hidden="1"/>
    </xf>
    <xf numFmtId="193" fontId="7" fillId="0" borderId="10" xfId="0" applyNumberFormat="1" applyFont="1" applyBorder="1" applyAlignment="1" applyProtection="1">
      <alignment horizontal="center"/>
      <protection hidden="1" locked="0"/>
    </xf>
    <xf numFmtId="193" fontId="4" fillId="0" borderId="10" xfId="0" applyNumberFormat="1" applyFont="1" applyBorder="1" applyAlignment="1" applyProtection="1">
      <alignment horizontal="center"/>
      <protection hidden="1" locked="0"/>
    </xf>
    <xf numFmtId="0" fontId="11" fillId="40" borderId="62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11" fillId="40" borderId="63" xfId="0" applyFont="1" applyFill="1" applyBorder="1" applyAlignment="1" applyProtection="1">
      <alignment horizontal="left"/>
      <protection hidden="1"/>
    </xf>
    <xf numFmtId="0" fontId="11" fillId="40" borderId="54" xfId="0" applyFont="1" applyFill="1" applyBorder="1" applyAlignment="1" applyProtection="1">
      <alignment horizontal="left"/>
      <protection hidden="1"/>
    </xf>
    <xf numFmtId="0" fontId="11" fillId="39" borderId="27" xfId="0" applyFont="1" applyFill="1" applyBorder="1" applyAlignment="1" applyProtection="1">
      <alignment horizontal="center"/>
      <protection locked="0"/>
    </xf>
    <xf numFmtId="0" fontId="11" fillId="40" borderId="27" xfId="0" applyFont="1" applyFill="1" applyBorder="1" applyAlignment="1" applyProtection="1">
      <alignment horizontal="center"/>
      <protection locked="0"/>
    </xf>
    <xf numFmtId="0" fontId="11" fillId="37" borderId="27" xfId="0" applyFont="1" applyFill="1" applyBorder="1" applyAlignment="1" applyProtection="1">
      <alignment horizontal="center"/>
      <protection locked="0"/>
    </xf>
    <xf numFmtId="0" fontId="11" fillId="37" borderId="64" xfId="0" applyFont="1" applyFill="1" applyBorder="1" applyAlignment="1" applyProtection="1">
      <alignment horizontal="center"/>
      <protection locked="0"/>
    </xf>
    <xf numFmtId="0" fontId="11" fillId="45" borderId="65" xfId="0" applyFont="1" applyFill="1" applyBorder="1" applyAlignment="1" applyProtection="1">
      <alignment horizontal="left"/>
      <protection hidden="1"/>
    </xf>
    <xf numFmtId="0" fontId="11" fillId="45" borderId="66" xfId="0" applyFont="1" applyFill="1" applyBorder="1" applyAlignment="1" applyProtection="1">
      <alignment horizontal="left"/>
      <protection hidden="1"/>
    </xf>
    <xf numFmtId="0" fontId="11" fillId="45" borderId="67" xfId="0" applyFont="1" applyFill="1" applyBorder="1" applyAlignment="1" applyProtection="1">
      <alignment horizontal="left"/>
      <protection hidden="1"/>
    </xf>
    <xf numFmtId="0" fontId="11" fillId="38" borderId="45" xfId="0" applyFont="1" applyFill="1" applyBorder="1" applyAlignment="1" applyProtection="1">
      <alignment horizontal="center"/>
      <protection locked="0"/>
    </xf>
    <xf numFmtId="0" fontId="11" fillId="38" borderId="49" xfId="0" applyFont="1" applyFill="1" applyBorder="1" applyAlignment="1" applyProtection="1">
      <alignment horizontal="center"/>
      <protection locked="0"/>
    </xf>
    <xf numFmtId="0" fontId="11" fillId="40" borderId="24" xfId="0" applyFont="1" applyFill="1" applyBorder="1" applyAlignment="1" applyProtection="1">
      <alignment horizontal="center"/>
      <protection locked="0"/>
    </xf>
    <xf numFmtId="0" fontId="11" fillId="39" borderId="68" xfId="0" applyNumberFormat="1" applyFont="1" applyFill="1" applyBorder="1" applyAlignment="1" applyProtection="1">
      <alignment/>
      <protection hidden="1"/>
    </xf>
    <xf numFmtId="0" fontId="11" fillId="40" borderId="29" xfId="0" applyNumberFormat="1" applyFont="1" applyFill="1" applyBorder="1" applyAlignment="1" applyProtection="1">
      <alignment/>
      <protection hidden="1"/>
    </xf>
    <xf numFmtId="0" fontId="11" fillId="39" borderId="29" xfId="0" applyNumberFormat="1" applyFont="1" applyFill="1" applyBorder="1" applyAlignment="1" applyProtection="1">
      <alignment/>
      <protection hidden="1"/>
    </xf>
    <xf numFmtId="0" fontId="11" fillId="37" borderId="29" xfId="0" applyNumberFormat="1" applyFont="1" applyFill="1" applyBorder="1" applyAlignment="1" applyProtection="1">
      <alignment/>
      <protection hidden="1"/>
    </xf>
    <xf numFmtId="0" fontId="11" fillId="37" borderId="68" xfId="0" applyNumberFormat="1" applyFont="1" applyFill="1" applyBorder="1" applyAlignment="1" applyProtection="1">
      <alignment/>
      <protection hidden="1"/>
    </xf>
    <xf numFmtId="0" fontId="7" fillId="0" borderId="0" xfId="0" applyFont="1" applyAlignment="1" applyProtection="1">
      <alignment horizontal="left"/>
      <protection hidden="1"/>
    </xf>
    <xf numFmtId="14" fontId="7" fillId="0" borderId="0" xfId="0" applyNumberFormat="1" applyFont="1" applyAlignment="1" applyProtection="1">
      <alignment horizontal="left"/>
      <protection hidden="1"/>
    </xf>
    <xf numFmtId="14" fontId="0" fillId="0" borderId="11" xfId="0" applyNumberFormat="1" applyFont="1" applyBorder="1" applyAlignment="1" applyProtection="1">
      <alignment horizontal="left"/>
      <protection locked="0"/>
    </xf>
    <xf numFmtId="193" fontId="11" fillId="0" borderId="0" xfId="0" applyNumberFormat="1" applyFont="1" applyAlignment="1" applyProtection="1">
      <alignment/>
      <protection hidden="1"/>
    </xf>
    <xf numFmtId="0" fontId="0" fillId="34" borderId="38" xfId="0" applyFont="1" applyFill="1" applyBorder="1" applyAlignment="1" applyProtection="1">
      <alignment horizontal="center"/>
      <protection hidden="1"/>
    </xf>
    <xf numFmtId="0" fontId="0" fillId="34" borderId="31" xfId="0" applyFont="1" applyFill="1" applyBorder="1" applyAlignment="1" applyProtection="1">
      <alignment horizontal="center"/>
      <protection hidden="1"/>
    </xf>
    <xf numFmtId="0" fontId="0" fillId="34" borderId="32" xfId="0" applyFont="1" applyFill="1" applyBorder="1" applyAlignment="1" applyProtection="1">
      <alignment horizontal="center"/>
      <protection hidden="1"/>
    </xf>
    <xf numFmtId="0" fontId="0" fillId="0" borderId="50" xfId="0" applyFont="1" applyBorder="1" applyAlignment="1" applyProtection="1">
      <alignment/>
      <protection locked="0"/>
    </xf>
    <xf numFmtId="0" fontId="0" fillId="0" borderId="64" xfId="0" applyFont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/>
      <protection locked="0"/>
    </xf>
    <xf numFmtId="0" fontId="0" fillId="0" borderId="60" xfId="0" applyFont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/>
      <protection locked="0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21" fillId="34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22" fillId="0" borderId="0" xfId="0" applyFont="1" applyAlignment="1">
      <alignment horizontal="center" readingOrder="1"/>
    </xf>
    <xf numFmtId="197" fontId="0" fillId="0" borderId="0" xfId="0" applyNumberFormat="1" applyAlignment="1">
      <alignment/>
    </xf>
    <xf numFmtId="0" fontId="23" fillId="0" borderId="0" xfId="0" applyFont="1" applyAlignment="1" applyProtection="1">
      <alignment/>
      <protection hidden="1"/>
    </xf>
    <xf numFmtId="0" fontId="4" fillId="0" borderId="0" xfId="0" applyFont="1" applyAlignment="1">
      <alignment horizontal="left"/>
    </xf>
    <xf numFmtId="0" fontId="19" fillId="0" borderId="0" xfId="0" applyFont="1" applyAlignment="1" applyProtection="1">
      <alignment horizontal="center" textRotation="90"/>
      <protection hidden="1"/>
    </xf>
    <xf numFmtId="0" fontId="18" fillId="0" borderId="0" xfId="0" applyFont="1" applyAlignment="1">
      <alignment horizontal="center" textRotation="90"/>
    </xf>
    <xf numFmtId="0" fontId="19" fillId="0" borderId="39" xfId="0" applyFont="1" applyBorder="1" applyAlignment="1" applyProtection="1">
      <alignment horizontal="center" textRotation="90"/>
      <protection hidden="1"/>
    </xf>
    <xf numFmtId="0" fontId="20" fillId="0" borderId="39" xfId="0" applyFont="1" applyBorder="1" applyAlignment="1">
      <alignment horizontal="center" textRotation="90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15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62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Mitglieder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394"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63"/>
        </patternFill>
      </fill>
    </dxf>
    <dxf>
      <fill>
        <patternFill>
          <bgColor indexed="51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10"/>
        </patternFill>
      </fill>
    </dxf>
    <dxf>
      <fill>
        <patternFill>
          <bgColor indexed="63"/>
        </patternFill>
      </fill>
    </dxf>
    <dxf/>
    <dxf>
      <fill>
        <patternFill>
          <bgColor indexed="10"/>
        </patternFill>
      </fill>
    </dxf>
    <dxf>
      <fill>
        <patternFill>
          <bgColor indexed="63"/>
        </patternFill>
      </fill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542925</xdr:colOff>
      <xdr:row>12</xdr:row>
      <xdr:rowOff>9525</xdr:rowOff>
    </xdr:from>
    <xdr:to>
      <xdr:col>12</xdr:col>
      <xdr:colOff>619125</xdr:colOff>
      <xdr:row>15</xdr:row>
      <xdr:rowOff>47625</xdr:rowOff>
    </xdr:to>
    <xdr:sp macro="[0]!Spielerübernahme">
      <xdr:nvSpPr>
        <xdr:cNvPr id="1" name="Text Box 6"/>
        <xdr:cNvSpPr txBox="1">
          <a:spLocks noChangeArrowheads="1"/>
        </xdr:cNvSpPr>
      </xdr:nvSpPr>
      <xdr:spPr>
        <a:xfrm>
          <a:off x="4591050" y="1952625"/>
          <a:ext cx="1600200" cy="523875"/>
        </a:xfrm>
        <a:prstGeom prst="rect">
          <a:avLst/>
        </a:prstGeom>
        <a:solidFill>
          <a:srgbClr val="E3E3E3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Spieler in Spielplan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übernehmen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323850</xdr:colOff>
      <xdr:row>17</xdr:row>
      <xdr:rowOff>47625</xdr:rowOff>
    </xdr:from>
    <xdr:to>
      <xdr:col>15</xdr:col>
      <xdr:colOff>438150</xdr:colOff>
      <xdr:row>20</xdr:row>
      <xdr:rowOff>104775</xdr:rowOff>
    </xdr:to>
    <xdr:sp macro="[0]!Makro2">
      <xdr:nvSpPr>
        <xdr:cNvPr id="1" name="Rectangle 1"/>
        <xdr:cNvSpPr>
          <a:spLocks/>
        </xdr:cNvSpPr>
      </xdr:nvSpPr>
      <xdr:spPr>
        <a:xfrm>
          <a:off x="8658225" y="3019425"/>
          <a:ext cx="1876425" cy="657225"/>
        </a:xfrm>
        <a:prstGeom prst="rect">
          <a:avLst/>
        </a:prstGeom>
        <a:solidFill>
          <a:srgbClr val="E3E3E3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Auslosung</a:t>
          </a:r>
        </a:p>
      </xdr:txBody>
    </xdr:sp>
    <xdr:clientData fPrintsWithSheet="0"/>
  </xdr:twoCellAnchor>
  <xdr:twoCellAnchor>
    <xdr:from>
      <xdr:col>13</xdr:col>
      <xdr:colOff>295275</xdr:colOff>
      <xdr:row>20</xdr:row>
      <xdr:rowOff>142875</xdr:rowOff>
    </xdr:from>
    <xdr:to>
      <xdr:col>15</xdr:col>
      <xdr:colOff>485775</xdr:colOff>
      <xdr:row>23</xdr:row>
      <xdr:rowOff>76200</xdr:rowOff>
    </xdr:to>
    <xdr:sp macro="[0]!Spielplananpassung_14_1">
      <xdr:nvSpPr>
        <xdr:cNvPr id="2" name="Text Box 4"/>
        <xdr:cNvSpPr txBox="1">
          <a:spLocks noChangeArrowheads="1"/>
        </xdr:cNvSpPr>
      </xdr:nvSpPr>
      <xdr:spPr>
        <a:xfrm>
          <a:off x="8629650" y="3714750"/>
          <a:ext cx="1952625" cy="457200"/>
        </a:xfrm>
        <a:prstGeom prst="rect">
          <a:avLst/>
        </a:prstGeom>
        <a:solidFill>
          <a:srgbClr val="E3E3E3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Spielplan anpassen auf 14.1 endlos</a:t>
          </a:r>
        </a:p>
      </xdr:txBody>
    </xdr:sp>
    <xdr:clientData/>
  </xdr:twoCellAnchor>
  <xdr:twoCellAnchor>
    <xdr:from>
      <xdr:col>13</xdr:col>
      <xdr:colOff>295275</xdr:colOff>
      <xdr:row>23</xdr:row>
      <xdr:rowOff>133350</xdr:rowOff>
    </xdr:from>
    <xdr:to>
      <xdr:col>15</xdr:col>
      <xdr:colOff>485775</xdr:colOff>
      <xdr:row>26</xdr:row>
      <xdr:rowOff>104775</xdr:rowOff>
    </xdr:to>
    <xdr:sp macro="[0]!Spielplananpassung_8_9_Ball">
      <xdr:nvSpPr>
        <xdr:cNvPr id="3" name="Text Box 5"/>
        <xdr:cNvSpPr txBox="1">
          <a:spLocks noChangeArrowheads="1"/>
        </xdr:cNvSpPr>
      </xdr:nvSpPr>
      <xdr:spPr>
        <a:xfrm>
          <a:off x="8629650" y="4229100"/>
          <a:ext cx="1952625" cy="447675"/>
        </a:xfrm>
        <a:prstGeom prst="rect">
          <a:avLst/>
        </a:prstGeom>
        <a:solidFill>
          <a:srgbClr val="E3E3E3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Spielplan anpassen auf 8/9-Ball</a:t>
          </a:r>
        </a:p>
      </xdr:txBody>
    </xdr:sp>
    <xdr:clientData/>
  </xdr:twoCellAnchor>
  <xdr:twoCellAnchor>
    <xdr:from>
      <xdr:col>13</xdr:col>
      <xdr:colOff>304800</xdr:colOff>
      <xdr:row>27</xdr:row>
      <xdr:rowOff>28575</xdr:rowOff>
    </xdr:from>
    <xdr:to>
      <xdr:col>15</xdr:col>
      <xdr:colOff>495300</xdr:colOff>
      <xdr:row>30</xdr:row>
      <xdr:rowOff>38100</xdr:rowOff>
    </xdr:to>
    <xdr:sp macro="[0]!Eingabenlöschung">
      <xdr:nvSpPr>
        <xdr:cNvPr id="4" name="Text Box 7"/>
        <xdr:cNvSpPr txBox="1">
          <a:spLocks noChangeArrowheads="1"/>
        </xdr:cNvSpPr>
      </xdr:nvSpPr>
      <xdr:spPr>
        <a:xfrm>
          <a:off x="8639175" y="4762500"/>
          <a:ext cx="1952625" cy="495300"/>
        </a:xfrm>
        <a:prstGeom prst="rect">
          <a:avLst/>
        </a:prstGeom>
        <a:solidFill>
          <a:srgbClr val="FF99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Auslosung und Ergebn. löschen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714375</xdr:colOff>
      <xdr:row>138</xdr:row>
      <xdr:rowOff>66675</xdr:rowOff>
    </xdr:from>
    <xdr:to>
      <xdr:col>11</xdr:col>
      <xdr:colOff>180975</xdr:colOff>
      <xdr:row>142</xdr:row>
      <xdr:rowOff>66675</xdr:rowOff>
    </xdr:to>
    <xdr:sp macro="[0]!Makro1">
      <xdr:nvSpPr>
        <xdr:cNvPr id="1" name="Rectangle 4"/>
        <xdr:cNvSpPr>
          <a:spLocks/>
        </xdr:cNvSpPr>
      </xdr:nvSpPr>
      <xdr:spPr>
        <a:xfrm>
          <a:off x="2705100" y="18869025"/>
          <a:ext cx="1143000" cy="533400"/>
        </a:xfrm>
        <a:prstGeom prst="rect">
          <a:avLst/>
        </a:prstGeom>
        <a:solidFill>
          <a:srgbClr val="E3E3E3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Tabelle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aktualisieren</a:t>
          </a:r>
        </a:p>
      </xdr:txBody>
    </xdr:sp>
    <xdr:clientData fPrintsWithSheet="0"/>
  </xdr:twoCellAnchor>
  <xdr:twoCellAnchor editAs="absolute">
    <xdr:from>
      <xdr:col>0</xdr:col>
      <xdr:colOff>19050</xdr:colOff>
      <xdr:row>0</xdr:row>
      <xdr:rowOff>0</xdr:rowOff>
    </xdr:from>
    <xdr:to>
      <xdr:col>0</xdr:col>
      <xdr:colOff>228600</xdr:colOff>
      <xdr:row>128</xdr:row>
      <xdr:rowOff>85725</xdr:rowOff>
    </xdr:to>
    <xdr:sp macro="[0]!Makro1">
      <xdr:nvSpPr>
        <xdr:cNvPr id="2" name="Rectangle 6"/>
        <xdr:cNvSpPr>
          <a:spLocks/>
        </xdr:cNvSpPr>
      </xdr:nvSpPr>
      <xdr:spPr>
        <a:xfrm flipH="1">
          <a:off x="19050" y="0"/>
          <a:ext cx="209550" cy="17468850"/>
        </a:xfrm>
        <a:prstGeom prst="rect">
          <a:avLst/>
        </a:prstGeom>
        <a:solidFill>
          <a:srgbClr val="E3E3E3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Tabelle aktualisieren         Tabelle aktualisieren         Tabelle aktualisieren         Tabelle aktualisieren         Tabelle aktualisieren         Tabelle aktualisieren         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15</xdr:col>
      <xdr:colOff>257175</xdr:colOff>
      <xdr:row>5</xdr:row>
      <xdr:rowOff>123825</xdr:rowOff>
    </xdr:from>
    <xdr:to>
      <xdr:col>16</xdr:col>
      <xdr:colOff>628650</xdr:colOff>
      <xdr:row>12</xdr:row>
      <xdr:rowOff>66675</xdr:rowOff>
    </xdr:to>
    <xdr:sp macro="[0]!Makro1">
      <xdr:nvSpPr>
        <xdr:cNvPr id="1" name="Rectangle 1"/>
        <xdr:cNvSpPr>
          <a:spLocks/>
        </xdr:cNvSpPr>
      </xdr:nvSpPr>
      <xdr:spPr>
        <a:xfrm>
          <a:off x="8010525" y="990600"/>
          <a:ext cx="1133475" cy="1076325"/>
        </a:xfrm>
        <a:prstGeom prst="rect">
          <a:avLst/>
        </a:prstGeom>
        <a:solidFill>
          <a:srgbClr val="E3E3E3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Tabelle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aktualisieren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lage%20Billard\Turnierpl&#228;ne\Turnierpl&#228;ne%20020912\BBV%20Turnierplan%20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ielereingabe"/>
      <sheetName val="SP32"/>
      <sheetName val="Baum32"/>
      <sheetName val="Paarung drucken"/>
      <sheetName val="Tabelle"/>
      <sheetName val="Preisgeld"/>
    </sheetNames>
    <sheetDataSet>
      <sheetData sheetId="1">
        <row r="2">
          <cell r="D2" t="str">
            <v>Tln1</v>
          </cell>
          <cell r="E2" t="str">
            <v>Tln2</v>
          </cell>
          <cell r="F2" t="str">
            <v>Sp1</v>
          </cell>
          <cell r="G2" t="str">
            <v>Sp2</v>
          </cell>
          <cell r="H2" t="str">
            <v>Auf1</v>
          </cell>
          <cell r="I2" t="str">
            <v>Auf2</v>
          </cell>
          <cell r="J2" t="str">
            <v>HS1</v>
          </cell>
          <cell r="K2" t="str">
            <v>HS2</v>
          </cell>
          <cell r="L2" t="str">
            <v>Tisch</v>
          </cell>
        </row>
        <row r="3">
          <cell r="C3">
            <v>1</v>
          </cell>
          <cell r="D3" t="str">
            <v>Spieler 1</v>
          </cell>
          <cell r="E3" t="str">
            <v>Spieler 17</v>
          </cell>
        </row>
        <row r="4">
          <cell r="C4">
            <v>2</v>
          </cell>
          <cell r="D4" t="str">
            <v>Spieler 9</v>
          </cell>
          <cell r="E4" t="str">
            <v>Spieler 25</v>
          </cell>
        </row>
        <row r="5">
          <cell r="C5">
            <v>3</v>
          </cell>
          <cell r="D5" t="str">
            <v>Spieler 5</v>
          </cell>
          <cell r="E5" t="str">
            <v>Spieler 21</v>
          </cell>
        </row>
        <row r="6">
          <cell r="C6">
            <v>4</v>
          </cell>
          <cell r="D6" t="str">
            <v>Spieler 13</v>
          </cell>
          <cell r="E6" t="str">
            <v>Spieler 29</v>
          </cell>
        </row>
        <row r="7">
          <cell r="C7">
            <v>5</v>
          </cell>
          <cell r="D7" t="str">
            <v>Spieler 3</v>
          </cell>
          <cell r="E7" t="str">
            <v>Spieler 19</v>
          </cell>
        </row>
        <row r="8">
          <cell r="C8">
            <v>6</v>
          </cell>
          <cell r="D8" t="str">
            <v>Spieler 11</v>
          </cell>
          <cell r="E8" t="str">
            <v>Spieler 27</v>
          </cell>
        </row>
        <row r="9">
          <cell r="C9">
            <v>7</v>
          </cell>
          <cell r="D9" t="str">
            <v>Spieler 7</v>
          </cell>
          <cell r="E9" t="str">
            <v>Spieler 23</v>
          </cell>
        </row>
        <row r="10">
          <cell r="C10">
            <v>8</v>
          </cell>
          <cell r="D10" t="str">
            <v>Spieler 15</v>
          </cell>
          <cell r="E10" t="str">
            <v>Spieler 31</v>
          </cell>
        </row>
        <row r="11">
          <cell r="C11">
            <v>9</v>
          </cell>
          <cell r="D11" t="str">
            <v>Spieler 2</v>
          </cell>
          <cell r="E11" t="str">
            <v>Spieler 18</v>
          </cell>
        </row>
        <row r="12">
          <cell r="C12">
            <v>10</v>
          </cell>
          <cell r="D12" t="str">
            <v>Spieler 10</v>
          </cell>
          <cell r="E12" t="str">
            <v>Spieler 26</v>
          </cell>
        </row>
        <row r="13">
          <cell r="C13">
            <v>11</v>
          </cell>
          <cell r="D13" t="str">
            <v>Spieler 6</v>
          </cell>
          <cell r="E13" t="str">
            <v>Spieler 22</v>
          </cell>
        </row>
        <row r="14">
          <cell r="C14">
            <v>12</v>
          </cell>
          <cell r="D14" t="str">
            <v>Spieler 14</v>
          </cell>
          <cell r="E14" t="str">
            <v>Spieler 30</v>
          </cell>
        </row>
        <row r="15">
          <cell r="C15">
            <v>13</v>
          </cell>
          <cell r="D15" t="str">
            <v>Spieler 4</v>
          </cell>
          <cell r="E15" t="str">
            <v>Spieler 20</v>
          </cell>
        </row>
        <row r="16">
          <cell r="C16">
            <v>14</v>
          </cell>
          <cell r="D16" t="str">
            <v>Spieler 12</v>
          </cell>
          <cell r="E16" t="str">
            <v>Spieler 28</v>
          </cell>
        </row>
        <row r="17">
          <cell r="C17">
            <v>15</v>
          </cell>
          <cell r="D17" t="str">
            <v>Spieler 8</v>
          </cell>
          <cell r="E17" t="str">
            <v>Spieler 24</v>
          </cell>
        </row>
        <row r="18">
          <cell r="C18">
            <v>16</v>
          </cell>
          <cell r="D18" t="str">
            <v>Spieler 16</v>
          </cell>
          <cell r="E18" t="str">
            <v>Spieler 32</v>
          </cell>
        </row>
        <row r="19">
          <cell r="C19">
            <v>17</v>
          </cell>
          <cell r="D19" t="str">
            <v>Verlierer 1</v>
          </cell>
          <cell r="E19" t="str">
            <v>Verlierer 2</v>
          </cell>
        </row>
        <row r="20">
          <cell r="C20">
            <v>18</v>
          </cell>
          <cell r="D20" t="str">
            <v>Verlierer 3</v>
          </cell>
          <cell r="E20" t="str">
            <v>Verlierer 4</v>
          </cell>
        </row>
        <row r="21">
          <cell r="C21">
            <v>19</v>
          </cell>
          <cell r="D21" t="str">
            <v>Verlierer 5</v>
          </cell>
          <cell r="E21" t="str">
            <v>Verlierer 6</v>
          </cell>
        </row>
        <row r="22">
          <cell r="C22">
            <v>20</v>
          </cell>
          <cell r="D22" t="str">
            <v>Verlierer 7</v>
          </cell>
          <cell r="E22" t="str">
            <v>Verlierer 8</v>
          </cell>
        </row>
        <row r="23">
          <cell r="C23">
            <v>21</v>
          </cell>
          <cell r="D23" t="str">
            <v>Verlierer 9</v>
          </cell>
          <cell r="E23" t="str">
            <v>Verlierer 10</v>
          </cell>
        </row>
        <row r="24">
          <cell r="C24">
            <v>22</v>
          </cell>
          <cell r="D24" t="str">
            <v>Verlierer 11</v>
          </cell>
          <cell r="E24" t="str">
            <v>Verlierer 12</v>
          </cell>
        </row>
        <row r="25">
          <cell r="C25">
            <v>23</v>
          </cell>
          <cell r="D25" t="str">
            <v>Verlierer 13</v>
          </cell>
          <cell r="E25" t="str">
            <v>Verlierer 14</v>
          </cell>
        </row>
        <row r="26">
          <cell r="C26">
            <v>24</v>
          </cell>
          <cell r="D26" t="str">
            <v>Verlierer 15</v>
          </cell>
          <cell r="E26" t="str">
            <v>Verlierer 16</v>
          </cell>
        </row>
        <row r="27">
          <cell r="C27">
            <v>25</v>
          </cell>
          <cell r="D27" t="str">
            <v>Sieger 1</v>
          </cell>
          <cell r="E27" t="str">
            <v>Sieger 2</v>
          </cell>
        </row>
        <row r="28">
          <cell r="C28">
            <v>26</v>
          </cell>
          <cell r="D28" t="str">
            <v>Sieger 3</v>
          </cell>
          <cell r="E28" t="str">
            <v>Sieger 4</v>
          </cell>
        </row>
        <row r="29">
          <cell r="C29">
            <v>27</v>
          </cell>
          <cell r="D29" t="str">
            <v>Sieger 5</v>
          </cell>
          <cell r="E29" t="str">
            <v>Sieger 6</v>
          </cell>
        </row>
        <row r="30">
          <cell r="C30">
            <v>28</v>
          </cell>
          <cell r="D30" t="str">
            <v>Sieger 7</v>
          </cell>
          <cell r="E30" t="str">
            <v>Sieger 8</v>
          </cell>
        </row>
        <row r="31">
          <cell r="C31">
            <v>29</v>
          </cell>
          <cell r="D31" t="str">
            <v>Sieger 9</v>
          </cell>
          <cell r="E31" t="str">
            <v>Sieger 10</v>
          </cell>
        </row>
        <row r="32">
          <cell r="C32">
            <v>30</v>
          </cell>
          <cell r="D32" t="str">
            <v>Sieger 11</v>
          </cell>
          <cell r="E32" t="str">
            <v>Sieger 12</v>
          </cell>
        </row>
        <row r="33">
          <cell r="C33">
            <v>31</v>
          </cell>
          <cell r="D33" t="str">
            <v>Sieger 13</v>
          </cell>
          <cell r="E33" t="str">
            <v>Sieger 14</v>
          </cell>
        </row>
        <row r="34">
          <cell r="C34">
            <v>32</v>
          </cell>
          <cell r="D34" t="str">
            <v>Sieger 15</v>
          </cell>
          <cell r="E34" t="str">
            <v>Sieger 16</v>
          </cell>
        </row>
        <row r="35">
          <cell r="C35">
            <v>33</v>
          </cell>
          <cell r="D35" t="str">
            <v>Sieger 17</v>
          </cell>
          <cell r="E35" t="str">
            <v>Verlierer 27</v>
          </cell>
        </row>
        <row r="36">
          <cell r="C36">
            <v>34</v>
          </cell>
          <cell r="D36" t="str">
            <v>Sieger 18</v>
          </cell>
          <cell r="E36" t="str">
            <v>Verlierer 28</v>
          </cell>
        </row>
        <row r="37">
          <cell r="C37">
            <v>35</v>
          </cell>
          <cell r="D37" t="str">
            <v>Sieger 19</v>
          </cell>
          <cell r="E37" t="str">
            <v>Verlierer 29</v>
          </cell>
        </row>
        <row r="38">
          <cell r="C38">
            <v>36</v>
          </cell>
          <cell r="D38" t="str">
            <v>Sieger 20</v>
          </cell>
          <cell r="E38" t="str">
            <v>Verlierer 30</v>
          </cell>
        </row>
        <row r="39">
          <cell r="C39">
            <v>37</v>
          </cell>
          <cell r="D39" t="str">
            <v>Sieger 21</v>
          </cell>
          <cell r="E39" t="str">
            <v>Verlierer 31</v>
          </cell>
        </row>
        <row r="40">
          <cell r="C40">
            <v>38</v>
          </cell>
          <cell r="D40" t="str">
            <v>Sieger 22</v>
          </cell>
          <cell r="E40" t="str">
            <v>Verlierer 32</v>
          </cell>
        </row>
        <row r="41">
          <cell r="C41">
            <v>39</v>
          </cell>
          <cell r="D41" t="str">
            <v>Sieger 23</v>
          </cell>
          <cell r="E41" t="str">
            <v>Verlierer 25</v>
          </cell>
        </row>
        <row r="42">
          <cell r="C42">
            <v>40</v>
          </cell>
          <cell r="D42" t="str">
            <v>Sieger 24</v>
          </cell>
          <cell r="E42" t="str">
            <v>Verlierer 26</v>
          </cell>
        </row>
        <row r="43">
          <cell r="C43">
            <v>41</v>
          </cell>
          <cell r="D43" t="str">
            <v>Sieger 33</v>
          </cell>
          <cell r="E43" t="str">
            <v>Sieger 34</v>
          </cell>
        </row>
        <row r="44">
          <cell r="C44">
            <v>42</v>
          </cell>
          <cell r="D44" t="str">
            <v>Sieger 35</v>
          </cell>
          <cell r="E44" t="str">
            <v>Sieger 36</v>
          </cell>
        </row>
        <row r="45">
          <cell r="C45">
            <v>43</v>
          </cell>
          <cell r="D45" t="str">
            <v>Sieger 37</v>
          </cell>
          <cell r="E45" t="str">
            <v>Sieger 38</v>
          </cell>
        </row>
        <row r="46">
          <cell r="C46">
            <v>44</v>
          </cell>
          <cell r="D46" t="str">
            <v>Sieger 39</v>
          </cell>
          <cell r="E46" t="str">
            <v>Sieger 40</v>
          </cell>
        </row>
        <row r="47">
          <cell r="C47">
            <v>45</v>
          </cell>
          <cell r="D47" t="str">
            <v>Sieger 25</v>
          </cell>
          <cell r="E47" t="str">
            <v>Sieger 26</v>
          </cell>
        </row>
        <row r="48">
          <cell r="C48">
            <v>46</v>
          </cell>
          <cell r="D48" t="str">
            <v>Sieger 27</v>
          </cell>
          <cell r="E48" t="str">
            <v>Sieger 28</v>
          </cell>
        </row>
        <row r="49">
          <cell r="C49">
            <v>47</v>
          </cell>
          <cell r="D49" t="str">
            <v>Sieger 29</v>
          </cell>
          <cell r="E49" t="str">
            <v>Sieger 30</v>
          </cell>
        </row>
        <row r="50">
          <cell r="C50">
            <v>48</v>
          </cell>
          <cell r="D50" t="str">
            <v>Sieger 31</v>
          </cell>
          <cell r="E50" t="str">
            <v>Sieger 32</v>
          </cell>
        </row>
        <row r="51">
          <cell r="C51">
            <v>49</v>
          </cell>
          <cell r="D51" t="str">
            <v>Sieger 41</v>
          </cell>
          <cell r="E51" t="str">
            <v>Verlierer 48</v>
          </cell>
        </row>
        <row r="52">
          <cell r="C52">
            <v>50</v>
          </cell>
          <cell r="D52" t="str">
            <v>Sieger 42</v>
          </cell>
          <cell r="E52" t="str">
            <v>Verlierer 45</v>
          </cell>
        </row>
        <row r="53">
          <cell r="C53">
            <v>51</v>
          </cell>
          <cell r="D53" t="str">
            <v>Sieger 43</v>
          </cell>
          <cell r="E53" t="str">
            <v>Verlierer 46</v>
          </cell>
        </row>
        <row r="54">
          <cell r="C54">
            <v>52</v>
          </cell>
          <cell r="D54" t="str">
            <v>Sieger 44</v>
          </cell>
          <cell r="E54" t="str">
            <v>Verlierer 47</v>
          </cell>
        </row>
        <row r="55">
          <cell r="C55">
            <v>53</v>
          </cell>
          <cell r="D55" t="str">
            <v>Sieger 49</v>
          </cell>
          <cell r="E55" t="str">
            <v>Sieger 50</v>
          </cell>
        </row>
        <row r="56">
          <cell r="C56">
            <v>54</v>
          </cell>
          <cell r="D56" t="str">
            <v>Sieger 51</v>
          </cell>
          <cell r="E56" t="str">
            <v>Sieger 52</v>
          </cell>
        </row>
        <row r="57">
          <cell r="C57">
            <v>55</v>
          </cell>
          <cell r="D57" t="str">
            <v>Sieger 45</v>
          </cell>
          <cell r="E57" t="str">
            <v>Sieger 46</v>
          </cell>
        </row>
        <row r="58">
          <cell r="C58">
            <v>56</v>
          </cell>
          <cell r="D58" t="str">
            <v>Sieger 47</v>
          </cell>
          <cell r="E58" t="str">
            <v>Sieger 48</v>
          </cell>
        </row>
        <row r="59">
          <cell r="C59">
            <v>57</v>
          </cell>
          <cell r="D59" t="str">
            <v>Sieger 53</v>
          </cell>
          <cell r="E59" t="str">
            <v>Verlierer 55</v>
          </cell>
        </row>
        <row r="60">
          <cell r="C60">
            <v>58</v>
          </cell>
          <cell r="D60" t="str">
            <v>Sieger 54</v>
          </cell>
          <cell r="E60" t="str">
            <v>Verlierer 56</v>
          </cell>
        </row>
        <row r="61">
          <cell r="C61">
            <v>59</v>
          </cell>
          <cell r="D61" t="str">
            <v>Sieger 57</v>
          </cell>
          <cell r="E61" t="str">
            <v>Sieger 58</v>
          </cell>
        </row>
        <row r="62">
          <cell r="C62">
            <v>60</v>
          </cell>
          <cell r="D62" t="str">
            <v>Sieger 55</v>
          </cell>
          <cell r="E62" t="str">
            <v>Sieger 56</v>
          </cell>
        </row>
        <row r="63">
          <cell r="C63">
            <v>61</v>
          </cell>
          <cell r="D63" t="str">
            <v>Sieger 59</v>
          </cell>
          <cell r="E63" t="str">
            <v>Verlierer 60</v>
          </cell>
        </row>
        <row r="64">
          <cell r="C64">
            <v>62</v>
          </cell>
          <cell r="D64" t="str">
            <v>Sieger 60</v>
          </cell>
          <cell r="E64" t="str">
            <v>Sieger 61</v>
          </cell>
        </row>
        <row r="65">
          <cell r="C65">
            <v>63</v>
          </cell>
          <cell r="D65" t="str">
            <v>Sieger 62</v>
          </cell>
          <cell r="E65" t="str">
            <v>Verlierer 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7"/>
  <dimension ref="A1:J75"/>
  <sheetViews>
    <sheetView tabSelected="1" zoomScalePageLayoutView="0" workbookViewId="0" topLeftCell="A1">
      <selection activeCell="C31" sqref="C31"/>
    </sheetView>
  </sheetViews>
  <sheetFormatPr defaultColWidth="11.421875" defaultRowHeight="12.75"/>
  <cols>
    <col min="1" max="1" width="4.421875" style="0" bestFit="1" customWidth="1"/>
    <col min="2" max="2" width="13.421875" style="0" bestFit="1" customWidth="1"/>
    <col min="3" max="3" width="8.8515625" style="0" bestFit="1" customWidth="1"/>
    <col min="4" max="4" width="11.8515625" style="0" bestFit="1" customWidth="1"/>
    <col min="5" max="5" width="17.421875" style="0" bestFit="1" customWidth="1"/>
    <col min="6" max="6" width="4.7109375" style="0" customWidth="1"/>
    <col min="7" max="10" width="11.421875" style="0" hidden="1" customWidth="1"/>
    <col min="11" max="13" width="11.421875" style="0" customWidth="1"/>
  </cols>
  <sheetData>
    <row r="1" spans="2:6" ht="12.75">
      <c r="B1" s="245" t="s">
        <v>416</v>
      </c>
      <c r="C1" s="245"/>
      <c r="D1" s="245"/>
      <c r="E1" s="245"/>
      <c r="F1" s="245"/>
    </row>
    <row r="2" spans="2:6" ht="12.75">
      <c r="B2" s="245" t="s">
        <v>417</v>
      </c>
      <c r="C2" s="245"/>
      <c r="D2" s="245"/>
      <c r="E2" s="245"/>
      <c r="F2" s="245"/>
    </row>
    <row r="3" spans="2:6" ht="12.75">
      <c r="B3" s="245" t="s">
        <v>418</v>
      </c>
      <c r="C3" s="245"/>
      <c r="D3" s="245"/>
      <c r="E3" s="245"/>
      <c r="F3" s="245"/>
    </row>
    <row r="4" spans="1:6" ht="12.75">
      <c r="A4" s="238"/>
      <c r="B4" s="239"/>
      <c r="C4" s="238"/>
      <c r="D4" s="238"/>
      <c r="E4" s="238"/>
      <c r="F4" s="238"/>
    </row>
    <row r="5" spans="1:6" ht="12.75">
      <c r="A5" s="238"/>
      <c r="B5" t="s">
        <v>419</v>
      </c>
      <c r="C5" t="s">
        <v>420</v>
      </c>
      <c r="D5" t="s">
        <v>421</v>
      </c>
      <c r="E5" t="s">
        <v>1025</v>
      </c>
      <c r="F5" s="240"/>
    </row>
    <row r="6" spans="1:10" ht="12.75">
      <c r="A6" s="238">
        <v>1</v>
      </c>
      <c r="F6" s="238"/>
      <c r="G6" s="241">
        <f aca="true" t="shared" si="0" ref="G6:G37">IF(C6&amp;" "&amp;D6=" ","",C6&amp;" "&amp;D6)</f>
      </c>
      <c r="H6" s="241">
        <f aca="true" t="shared" si="1" ref="H6:H37">IF(E6="","",E6)</f>
      </c>
      <c r="I6" s="241"/>
      <c r="J6" s="241">
        <f aca="true" t="shared" si="2" ref="J6:J37">IF(B6="","",B6)</f>
      </c>
    </row>
    <row r="7" spans="1:10" ht="12.75">
      <c r="A7" s="238">
        <v>2</v>
      </c>
      <c r="F7" s="238"/>
      <c r="G7" s="241">
        <f t="shared" si="0"/>
      </c>
      <c r="H7" s="241">
        <f t="shared" si="1"/>
      </c>
      <c r="I7" s="241"/>
      <c r="J7" s="241">
        <f t="shared" si="2"/>
      </c>
    </row>
    <row r="8" spans="1:10" ht="12.75">
      <c r="A8" s="238">
        <v>3</v>
      </c>
      <c r="F8" s="238"/>
      <c r="G8" s="241">
        <f t="shared" si="0"/>
      </c>
      <c r="H8" s="241">
        <f t="shared" si="1"/>
      </c>
      <c r="I8" s="241"/>
      <c r="J8" s="241">
        <f t="shared" si="2"/>
      </c>
    </row>
    <row r="9" spans="1:10" ht="12.75">
      <c r="A9" s="238">
        <v>4</v>
      </c>
      <c r="F9" s="238"/>
      <c r="G9" s="241">
        <f t="shared" si="0"/>
      </c>
      <c r="H9" s="241">
        <f t="shared" si="1"/>
      </c>
      <c r="I9" s="241"/>
      <c r="J9" s="241">
        <f t="shared" si="2"/>
      </c>
    </row>
    <row r="10" spans="1:10" ht="12.75">
      <c r="A10" s="238">
        <v>5</v>
      </c>
      <c r="F10" s="238"/>
      <c r="G10" s="241">
        <f t="shared" si="0"/>
      </c>
      <c r="H10" s="241">
        <f t="shared" si="1"/>
      </c>
      <c r="I10" s="241"/>
      <c r="J10" s="241">
        <f t="shared" si="2"/>
      </c>
    </row>
    <row r="11" spans="1:10" ht="12.75">
      <c r="A11" s="238">
        <v>6</v>
      </c>
      <c r="F11" s="238"/>
      <c r="G11" s="241">
        <f t="shared" si="0"/>
      </c>
      <c r="H11" s="241">
        <f t="shared" si="1"/>
      </c>
      <c r="I11" s="241"/>
      <c r="J11" s="241">
        <f t="shared" si="2"/>
      </c>
    </row>
    <row r="12" spans="1:10" ht="12.75">
      <c r="A12" s="238">
        <v>7</v>
      </c>
      <c r="F12" s="238"/>
      <c r="G12" s="241">
        <f t="shared" si="0"/>
      </c>
      <c r="H12" s="241">
        <f t="shared" si="1"/>
      </c>
      <c r="I12" s="241"/>
      <c r="J12" s="241">
        <f t="shared" si="2"/>
      </c>
    </row>
    <row r="13" spans="1:10" ht="12.75">
      <c r="A13" s="238">
        <v>8</v>
      </c>
      <c r="F13" s="238"/>
      <c r="G13" s="241">
        <f t="shared" si="0"/>
      </c>
      <c r="H13" s="241">
        <f t="shared" si="1"/>
      </c>
      <c r="I13" s="241"/>
      <c r="J13" s="241">
        <f t="shared" si="2"/>
      </c>
    </row>
    <row r="14" spans="1:10" ht="12.75">
      <c r="A14" s="238">
        <v>9</v>
      </c>
      <c r="F14" s="238"/>
      <c r="G14" s="241">
        <f t="shared" si="0"/>
      </c>
      <c r="H14" s="241">
        <f t="shared" si="1"/>
      </c>
      <c r="I14" s="241"/>
      <c r="J14" s="241">
        <f t="shared" si="2"/>
      </c>
    </row>
    <row r="15" spans="1:10" ht="12.75">
      <c r="A15" s="238">
        <v>10</v>
      </c>
      <c r="F15" s="238"/>
      <c r="G15" s="241">
        <f t="shared" si="0"/>
      </c>
      <c r="H15" s="241">
        <f t="shared" si="1"/>
      </c>
      <c r="I15" s="241"/>
      <c r="J15" s="241">
        <f t="shared" si="2"/>
      </c>
    </row>
    <row r="16" spans="1:10" ht="12.75">
      <c r="A16" s="238">
        <v>11</v>
      </c>
      <c r="F16" s="238"/>
      <c r="G16" s="241">
        <f t="shared" si="0"/>
      </c>
      <c r="H16" s="241">
        <f t="shared" si="1"/>
      </c>
      <c r="I16" s="241"/>
      <c r="J16" s="241">
        <f t="shared" si="2"/>
      </c>
    </row>
    <row r="17" spans="1:10" ht="12.75">
      <c r="A17" s="238">
        <v>12</v>
      </c>
      <c r="F17" s="238"/>
      <c r="G17" s="241">
        <f t="shared" si="0"/>
      </c>
      <c r="H17" s="241">
        <f t="shared" si="1"/>
      </c>
      <c r="I17" s="241"/>
      <c r="J17" s="241">
        <f t="shared" si="2"/>
      </c>
    </row>
    <row r="18" spans="1:10" ht="12.75">
      <c r="A18" s="238">
        <v>13</v>
      </c>
      <c r="F18" s="238"/>
      <c r="G18" s="241">
        <f t="shared" si="0"/>
      </c>
      <c r="H18" s="241">
        <f t="shared" si="1"/>
      </c>
      <c r="I18" s="241"/>
      <c r="J18" s="241">
        <f t="shared" si="2"/>
      </c>
    </row>
    <row r="19" spans="1:10" ht="12.75">
      <c r="A19" s="238">
        <v>14</v>
      </c>
      <c r="F19" s="238"/>
      <c r="G19" s="241">
        <f t="shared" si="0"/>
      </c>
      <c r="H19" s="241">
        <f t="shared" si="1"/>
      </c>
      <c r="I19" s="241"/>
      <c r="J19" s="241">
        <f t="shared" si="2"/>
      </c>
    </row>
    <row r="20" spans="1:10" ht="12.75">
      <c r="A20" s="238">
        <v>15</v>
      </c>
      <c r="F20" s="238"/>
      <c r="G20" s="241">
        <f t="shared" si="0"/>
      </c>
      <c r="H20" s="241">
        <f t="shared" si="1"/>
      </c>
      <c r="I20" s="241"/>
      <c r="J20" s="241">
        <f t="shared" si="2"/>
      </c>
    </row>
    <row r="21" spans="1:10" ht="12.75">
      <c r="A21" s="238">
        <v>16</v>
      </c>
      <c r="F21" s="238"/>
      <c r="G21" s="241">
        <f t="shared" si="0"/>
      </c>
      <c r="H21" s="241">
        <f t="shared" si="1"/>
      </c>
      <c r="I21" s="241"/>
      <c r="J21" s="241">
        <f t="shared" si="2"/>
      </c>
    </row>
    <row r="22" spans="1:10" ht="12.75">
      <c r="A22" s="238">
        <v>17</v>
      </c>
      <c r="F22" s="238"/>
      <c r="G22" s="241">
        <f t="shared" si="0"/>
      </c>
      <c r="H22" s="241">
        <f t="shared" si="1"/>
      </c>
      <c r="I22" s="241"/>
      <c r="J22" s="241">
        <f t="shared" si="2"/>
      </c>
    </row>
    <row r="23" spans="1:10" ht="12.75">
      <c r="A23" s="238">
        <v>18</v>
      </c>
      <c r="F23" s="238"/>
      <c r="G23" s="241">
        <f t="shared" si="0"/>
      </c>
      <c r="H23" s="241">
        <f t="shared" si="1"/>
      </c>
      <c r="I23" s="241"/>
      <c r="J23" s="241">
        <f t="shared" si="2"/>
      </c>
    </row>
    <row r="24" spans="1:10" ht="12.75">
      <c r="A24" s="238">
        <v>19</v>
      </c>
      <c r="F24" s="238"/>
      <c r="G24" s="241">
        <f t="shared" si="0"/>
      </c>
      <c r="H24" s="241">
        <f t="shared" si="1"/>
      </c>
      <c r="I24" s="241"/>
      <c r="J24" s="241">
        <f t="shared" si="2"/>
      </c>
    </row>
    <row r="25" spans="1:10" ht="12.75">
      <c r="A25" s="238">
        <v>20</v>
      </c>
      <c r="F25" s="238"/>
      <c r="G25" s="241">
        <f t="shared" si="0"/>
      </c>
      <c r="H25" s="241">
        <f t="shared" si="1"/>
      </c>
      <c r="I25" s="241"/>
      <c r="J25" s="241">
        <f t="shared" si="2"/>
      </c>
    </row>
    <row r="26" spans="1:10" ht="12.75">
      <c r="A26" s="238">
        <v>21</v>
      </c>
      <c r="F26" s="238"/>
      <c r="G26" s="241">
        <f t="shared" si="0"/>
      </c>
      <c r="H26" s="241">
        <f t="shared" si="1"/>
      </c>
      <c r="I26" s="241"/>
      <c r="J26" s="241">
        <f t="shared" si="2"/>
      </c>
    </row>
    <row r="27" spans="1:10" ht="12.75">
      <c r="A27" s="238">
        <v>22</v>
      </c>
      <c r="F27" s="238"/>
      <c r="G27" s="241">
        <f t="shared" si="0"/>
      </c>
      <c r="H27" s="241">
        <f t="shared" si="1"/>
      </c>
      <c r="I27" s="241"/>
      <c r="J27" s="241">
        <f t="shared" si="2"/>
      </c>
    </row>
    <row r="28" spans="1:10" ht="12.75">
      <c r="A28" s="238">
        <v>23</v>
      </c>
      <c r="F28" s="238"/>
      <c r="G28" s="241">
        <f t="shared" si="0"/>
      </c>
      <c r="H28" s="241">
        <f t="shared" si="1"/>
      </c>
      <c r="I28" s="241"/>
      <c r="J28" s="241">
        <f t="shared" si="2"/>
      </c>
    </row>
    <row r="29" spans="1:10" ht="12.75">
      <c r="A29" s="238">
        <v>24</v>
      </c>
      <c r="F29" s="238"/>
      <c r="G29" s="241">
        <f t="shared" si="0"/>
      </c>
      <c r="H29" s="241">
        <f t="shared" si="1"/>
      </c>
      <c r="I29" s="241"/>
      <c r="J29" s="241">
        <f t="shared" si="2"/>
      </c>
    </row>
    <row r="30" spans="1:10" ht="12.75">
      <c r="A30" s="238">
        <v>25</v>
      </c>
      <c r="F30" s="238"/>
      <c r="G30" s="241">
        <f t="shared" si="0"/>
      </c>
      <c r="H30" s="241">
        <f t="shared" si="1"/>
      </c>
      <c r="I30" s="241"/>
      <c r="J30" s="241">
        <f t="shared" si="2"/>
      </c>
    </row>
    <row r="31" spans="1:10" ht="12.75">
      <c r="A31" s="238">
        <v>26</v>
      </c>
      <c r="F31" s="238"/>
      <c r="G31" s="241">
        <f t="shared" si="0"/>
      </c>
      <c r="H31" s="241">
        <f t="shared" si="1"/>
      </c>
      <c r="I31" s="241"/>
      <c r="J31" s="241">
        <f t="shared" si="2"/>
      </c>
    </row>
    <row r="32" spans="1:10" ht="12.75">
      <c r="A32" s="238">
        <v>27</v>
      </c>
      <c r="F32" s="238"/>
      <c r="G32" s="241">
        <f t="shared" si="0"/>
      </c>
      <c r="H32" s="241">
        <f t="shared" si="1"/>
      </c>
      <c r="I32" s="241"/>
      <c r="J32" s="241">
        <f t="shared" si="2"/>
      </c>
    </row>
    <row r="33" spans="1:10" ht="12.75">
      <c r="A33" s="238">
        <v>28</v>
      </c>
      <c r="F33" s="238"/>
      <c r="G33" s="241">
        <f t="shared" si="0"/>
      </c>
      <c r="H33" s="241">
        <f t="shared" si="1"/>
      </c>
      <c r="I33" s="241"/>
      <c r="J33" s="241">
        <f t="shared" si="2"/>
      </c>
    </row>
    <row r="34" spans="1:10" ht="12.75">
      <c r="A34" s="238">
        <v>29</v>
      </c>
      <c r="F34" s="238"/>
      <c r="G34" s="241">
        <f t="shared" si="0"/>
      </c>
      <c r="H34" s="241">
        <f t="shared" si="1"/>
      </c>
      <c r="I34" s="241"/>
      <c r="J34" s="241">
        <f t="shared" si="2"/>
      </c>
    </row>
    <row r="35" spans="1:10" ht="12.75">
      <c r="A35" s="238">
        <v>30</v>
      </c>
      <c r="F35" s="238"/>
      <c r="G35" s="241">
        <f t="shared" si="0"/>
      </c>
      <c r="H35" s="241">
        <f t="shared" si="1"/>
      </c>
      <c r="I35" s="241"/>
      <c r="J35" s="241">
        <f t="shared" si="2"/>
      </c>
    </row>
    <row r="36" spans="1:10" ht="12.75">
      <c r="A36" s="238">
        <v>31</v>
      </c>
      <c r="F36" s="238"/>
      <c r="G36" s="241">
        <f t="shared" si="0"/>
      </c>
      <c r="H36" s="241">
        <f t="shared" si="1"/>
      </c>
      <c r="I36" s="241"/>
      <c r="J36" s="241">
        <f t="shared" si="2"/>
      </c>
    </row>
    <row r="37" spans="1:10" ht="12.75">
      <c r="A37" s="238">
        <v>32</v>
      </c>
      <c r="F37" s="238"/>
      <c r="G37" s="241">
        <f t="shared" si="0"/>
      </c>
      <c r="H37" s="241">
        <f t="shared" si="1"/>
      </c>
      <c r="I37" s="241"/>
      <c r="J37" s="241">
        <f t="shared" si="2"/>
      </c>
    </row>
    <row r="38" spans="1:10" ht="12.75">
      <c r="A38" s="238">
        <v>33</v>
      </c>
      <c r="F38" s="238"/>
      <c r="G38" s="241">
        <f aca="true" t="shared" si="3" ref="G38:G69">IF(C38&amp;" "&amp;D38=" ","",C38&amp;" "&amp;D38)</f>
      </c>
      <c r="H38" s="241">
        <f aca="true" t="shared" si="4" ref="H38:H69">IF(E38="","",E38)</f>
      </c>
      <c r="I38" s="241"/>
      <c r="J38" s="241">
        <f aca="true" t="shared" si="5" ref="J38:J69">IF(B38="","",B38)</f>
      </c>
    </row>
    <row r="39" spans="1:10" ht="12.75">
      <c r="A39" s="238">
        <v>34</v>
      </c>
      <c r="F39" s="238"/>
      <c r="G39" s="241">
        <f t="shared" si="3"/>
      </c>
      <c r="H39" s="241">
        <f t="shared" si="4"/>
      </c>
      <c r="I39" s="241"/>
      <c r="J39" s="241">
        <f t="shared" si="5"/>
      </c>
    </row>
    <row r="40" spans="1:10" ht="12.75">
      <c r="A40" s="238">
        <v>35</v>
      </c>
      <c r="F40" s="238"/>
      <c r="G40" s="241">
        <f t="shared" si="3"/>
      </c>
      <c r="H40" s="241">
        <f t="shared" si="4"/>
      </c>
      <c r="I40" s="241"/>
      <c r="J40" s="241">
        <f t="shared" si="5"/>
      </c>
    </row>
    <row r="41" spans="1:10" ht="12.75">
      <c r="A41" s="238">
        <v>36</v>
      </c>
      <c r="F41" s="238"/>
      <c r="G41" s="241">
        <f t="shared" si="3"/>
      </c>
      <c r="H41" s="241">
        <f t="shared" si="4"/>
      </c>
      <c r="I41" s="241"/>
      <c r="J41" s="241">
        <f t="shared" si="5"/>
      </c>
    </row>
    <row r="42" spans="1:10" ht="12.75">
      <c r="A42" s="238">
        <v>37</v>
      </c>
      <c r="F42" s="238"/>
      <c r="G42" s="241">
        <f t="shared" si="3"/>
      </c>
      <c r="H42" s="241">
        <f t="shared" si="4"/>
      </c>
      <c r="I42" s="241"/>
      <c r="J42" s="241">
        <f t="shared" si="5"/>
      </c>
    </row>
    <row r="43" spans="1:10" ht="12.75">
      <c r="A43" s="238">
        <v>38</v>
      </c>
      <c r="F43" s="238"/>
      <c r="G43" s="241">
        <f t="shared" si="3"/>
      </c>
      <c r="H43" s="241">
        <f t="shared" si="4"/>
      </c>
      <c r="I43" s="241"/>
      <c r="J43" s="241">
        <f t="shared" si="5"/>
      </c>
    </row>
    <row r="44" spans="1:10" ht="12.75">
      <c r="A44" s="238">
        <v>39</v>
      </c>
      <c r="F44" s="238"/>
      <c r="G44" s="241">
        <f t="shared" si="3"/>
      </c>
      <c r="H44" s="241">
        <f t="shared" si="4"/>
      </c>
      <c r="I44" s="241"/>
      <c r="J44" s="241">
        <f t="shared" si="5"/>
      </c>
    </row>
    <row r="45" spans="1:10" ht="12.75">
      <c r="A45" s="238">
        <v>40</v>
      </c>
      <c r="F45" s="238"/>
      <c r="G45" s="241">
        <f t="shared" si="3"/>
      </c>
      <c r="H45" s="241">
        <f t="shared" si="4"/>
      </c>
      <c r="I45" s="241"/>
      <c r="J45" s="241">
        <f t="shared" si="5"/>
      </c>
    </row>
    <row r="46" spans="1:10" ht="12.75">
      <c r="A46" s="238">
        <v>41</v>
      </c>
      <c r="F46" s="238"/>
      <c r="G46" s="241">
        <f t="shared" si="3"/>
      </c>
      <c r="H46" s="241">
        <f t="shared" si="4"/>
      </c>
      <c r="I46" s="241"/>
      <c r="J46" s="241">
        <f t="shared" si="5"/>
      </c>
    </row>
    <row r="47" spans="1:10" ht="12.75">
      <c r="A47" s="238">
        <v>42</v>
      </c>
      <c r="F47" s="238"/>
      <c r="G47" s="241">
        <f t="shared" si="3"/>
      </c>
      <c r="H47" s="241">
        <f t="shared" si="4"/>
      </c>
      <c r="I47" s="241"/>
      <c r="J47" s="241">
        <f t="shared" si="5"/>
      </c>
    </row>
    <row r="48" spans="1:10" ht="12.75">
      <c r="A48" s="238">
        <v>43</v>
      </c>
      <c r="F48" s="238"/>
      <c r="G48" s="241">
        <f t="shared" si="3"/>
      </c>
      <c r="H48" s="241">
        <f t="shared" si="4"/>
      </c>
      <c r="I48" s="241"/>
      <c r="J48" s="241">
        <f t="shared" si="5"/>
      </c>
    </row>
    <row r="49" spans="1:10" ht="12.75">
      <c r="A49" s="238">
        <v>44</v>
      </c>
      <c r="F49" s="238"/>
      <c r="G49" s="241">
        <f t="shared" si="3"/>
      </c>
      <c r="H49" s="241">
        <f t="shared" si="4"/>
      </c>
      <c r="I49" s="241"/>
      <c r="J49" s="241">
        <f t="shared" si="5"/>
      </c>
    </row>
    <row r="50" spans="1:10" ht="12.75">
      <c r="A50" s="238">
        <v>45</v>
      </c>
      <c r="F50" s="238"/>
      <c r="G50" s="241">
        <f t="shared" si="3"/>
      </c>
      <c r="H50" s="241">
        <f t="shared" si="4"/>
      </c>
      <c r="I50" s="241"/>
      <c r="J50" s="241">
        <f t="shared" si="5"/>
      </c>
    </row>
    <row r="51" spans="1:10" ht="12.75">
      <c r="A51" s="238">
        <v>46</v>
      </c>
      <c r="F51" s="238"/>
      <c r="G51" s="241">
        <f t="shared" si="3"/>
      </c>
      <c r="H51" s="241">
        <f t="shared" si="4"/>
      </c>
      <c r="I51" s="241"/>
      <c r="J51" s="241">
        <f t="shared" si="5"/>
      </c>
    </row>
    <row r="52" spans="1:10" ht="12.75">
      <c r="A52" s="238">
        <v>47</v>
      </c>
      <c r="F52" s="238"/>
      <c r="G52" s="241">
        <f t="shared" si="3"/>
      </c>
      <c r="H52" s="241">
        <f t="shared" si="4"/>
      </c>
      <c r="I52" s="241"/>
      <c r="J52" s="241">
        <f t="shared" si="5"/>
      </c>
    </row>
    <row r="53" spans="1:10" ht="12.75">
      <c r="A53" s="238">
        <v>48</v>
      </c>
      <c r="F53" s="238"/>
      <c r="G53" s="241">
        <f t="shared" si="3"/>
      </c>
      <c r="H53" s="241">
        <f t="shared" si="4"/>
      </c>
      <c r="I53" s="241"/>
      <c r="J53" s="241">
        <f t="shared" si="5"/>
      </c>
    </row>
    <row r="54" spans="1:10" ht="12.75">
      <c r="A54" s="238">
        <v>49</v>
      </c>
      <c r="F54" s="238"/>
      <c r="G54" s="241">
        <f t="shared" si="3"/>
      </c>
      <c r="H54" s="241">
        <f t="shared" si="4"/>
      </c>
      <c r="I54" s="241"/>
      <c r="J54" s="241">
        <f t="shared" si="5"/>
      </c>
    </row>
    <row r="55" spans="1:10" ht="12.75">
      <c r="A55" s="238">
        <v>50</v>
      </c>
      <c r="F55" s="238"/>
      <c r="G55" s="241">
        <f t="shared" si="3"/>
      </c>
      <c r="H55" s="241">
        <f t="shared" si="4"/>
      </c>
      <c r="I55" s="241"/>
      <c r="J55" s="241">
        <f t="shared" si="5"/>
      </c>
    </row>
    <row r="56" spans="1:10" ht="12.75">
      <c r="A56" s="238">
        <v>51</v>
      </c>
      <c r="F56" s="238"/>
      <c r="G56" s="241">
        <f t="shared" si="3"/>
      </c>
      <c r="H56" s="241">
        <f t="shared" si="4"/>
      </c>
      <c r="I56" s="241"/>
      <c r="J56" s="241">
        <f t="shared" si="5"/>
      </c>
    </row>
    <row r="57" spans="1:10" ht="12.75">
      <c r="A57" s="238">
        <v>52</v>
      </c>
      <c r="F57" s="238"/>
      <c r="G57" s="241">
        <f t="shared" si="3"/>
      </c>
      <c r="H57" s="241">
        <f t="shared" si="4"/>
      </c>
      <c r="I57" s="241"/>
      <c r="J57" s="241">
        <f t="shared" si="5"/>
      </c>
    </row>
    <row r="58" spans="1:10" ht="12.75">
      <c r="A58" s="238">
        <v>53</v>
      </c>
      <c r="F58" s="238"/>
      <c r="G58" s="241">
        <f t="shared" si="3"/>
      </c>
      <c r="H58" s="241">
        <f t="shared" si="4"/>
      </c>
      <c r="I58" s="241"/>
      <c r="J58" s="241">
        <f t="shared" si="5"/>
      </c>
    </row>
    <row r="59" spans="1:10" ht="12.75">
      <c r="A59" s="238">
        <v>54</v>
      </c>
      <c r="F59" s="238"/>
      <c r="G59" s="241">
        <f t="shared" si="3"/>
      </c>
      <c r="H59" s="241">
        <f t="shared" si="4"/>
      </c>
      <c r="I59" s="241"/>
      <c r="J59" s="241">
        <f t="shared" si="5"/>
      </c>
    </row>
    <row r="60" spans="1:10" ht="12.75">
      <c r="A60" s="238">
        <v>55</v>
      </c>
      <c r="F60" s="238"/>
      <c r="G60" s="241">
        <f t="shared" si="3"/>
      </c>
      <c r="H60" s="241">
        <f t="shared" si="4"/>
      </c>
      <c r="I60" s="241"/>
      <c r="J60" s="241">
        <f t="shared" si="5"/>
      </c>
    </row>
    <row r="61" spans="1:10" ht="12.75">
      <c r="A61" s="238">
        <v>56</v>
      </c>
      <c r="F61" s="238"/>
      <c r="G61" s="241">
        <f t="shared" si="3"/>
      </c>
      <c r="H61" s="241">
        <f t="shared" si="4"/>
      </c>
      <c r="I61" s="241"/>
      <c r="J61" s="241">
        <f t="shared" si="5"/>
      </c>
    </row>
    <row r="62" spans="1:10" ht="12.75">
      <c r="A62" s="238">
        <v>57</v>
      </c>
      <c r="F62" s="238"/>
      <c r="G62" s="241">
        <f t="shared" si="3"/>
      </c>
      <c r="H62" s="241">
        <f t="shared" si="4"/>
      </c>
      <c r="I62" s="241"/>
      <c r="J62" s="241">
        <f t="shared" si="5"/>
      </c>
    </row>
    <row r="63" spans="1:10" ht="12.75">
      <c r="A63" s="238">
        <v>58</v>
      </c>
      <c r="F63" s="238"/>
      <c r="G63" s="241">
        <f t="shared" si="3"/>
      </c>
      <c r="H63" s="241">
        <f t="shared" si="4"/>
      </c>
      <c r="I63" s="241"/>
      <c r="J63" s="241">
        <f t="shared" si="5"/>
      </c>
    </row>
    <row r="64" spans="1:10" ht="12.75">
      <c r="A64" s="238">
        <v>59</v>
      </c>
      <c r="F64" s="238"/>
      <c r="G64" s="241">
        <f t="shared" si="3"/>
      </c>
      <c r="H64" s="241">
        <f t="shared" si="4"/>
      </c>
      <c r="I64" s="241"/>
      <c r="J64" s="241">
        <f t="shared" si="5"/>
      </c>
    </row>
    <row r="65" spans="1:10" ht="12.75">
      <c r="A65" s="238">
        <v>60</v>
      </c>
      <c r="F65" s="238"/>
      <c r="G65" s="241">
        <f t="shared" si="3"/>
      </c>
      <c r="H65" s="241">
        <f t="shared" si="4"/>
      </c>
      <c r="I65" s="241"/>
      <c r="J65" s="241">
        <f t="shared" si="5"/>
      </c>
    </row>
    <row r="66" spans="1:10" ht="12.75">
      <c r="A66" s="238">
        <v>61</v>
      </c>
      <c r="F66" s="238"/>
      <c r="G66" s="241">
        <f t="shared" si="3"/>
      </c>
      <c r="H66" s="241">
        <f t="shared" si="4"/>
      </c>
      <c r="I66" s="241"/>
      <c r="J66" s="241">
        <f t="shared" si="5"/>
      </c>
    </row>
    <row r="67" spans="1:10" ht="12.75">
      <c r="A67" s="238">
        <v>62</v>
      </c>
      <c r="F67" s="238"/>
      <c r="G67" s="241">
        <f t="shared" si="3"/>
      </c>
      <c r="H67" s="241">
        <f t="shared" si="4"/>
      </c>
      <c r="I67" s="241"/>
      <c r="J67" s="241">
        <f t="shared" si="5"/>
      </c>
    </row>
    <row r="68" spans="1:10" ht="12.75">
      <c r="A68" s="238">
        <v>63</v>
      </c>
      <c r="F68" s="238"/>
      <c r="G68" s="241">
        <f t="shared" si="3"/>
      </c>
      <c r="H68" s="241">
        <f t="shared" si="4"/>
      </c>
      <c r="I68" s="241"/>
      <c r="J68" s="241">
        <f t="shared" si="5"/>
      </c>
    </row>
    <row r="69" spans="1:10" ht="12.75">
      <c r="A69" s="238">
        <v>64</v>
      </c>
      <c r="F69" s="238"/>
      <c r="G69" s="241">
        <f t="shared" si="3"/>
      </c>
      <c r="H69" s="241">
        <f t="shared" si="4"/>
      </c>
      <c r="I69" s="241"/>
      <c r="J69" s="241">
        <f t="shared" si="5"/>
      </c>
    </row>
    <row r="70" spans="1:6" ht="12.75">
      <c r="A70" s="238"/>
      <c r="B70" s="238"/>
      <c r="C70" s="238"/>
      <c r="D70" s="238"/>
      <c r="E70" s="238"/>
      <c r="F70" s="238"/>
    </row>
    <row r="75" ht="15.75">
      <c r="C75" s="242"/>
    </row>
  </sheetData>
  <sheetProtection/>
  <mergeCells count="3">
    <mergeCell ref="B1:F1"/>
    <mergeCell ref="B2:F2"/>
    <mergeCell ref="B3:F3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V80"/>
  <sheetViews>
    <sheetView showGridLines="0" showOutlineSymbols="0" zoomScale="65" zoomScaleNormal="65" zoomScalePageLayoutView="0" workbookViewId="0" topLeftCell="A2">
      <selection activeCell="F9" sqref="F9"/>
    </sheetView>
  </sheetViews>
  <sheetFormatPr defaultColWidth="9.140625" defaultRowHeight="12.75"/>
  <cols>
    <col min="1" max="1" width="8.28125" style="2" customWidth="1"/>
    <col min="2" max="2" width="4.8515625" style="194" customWidth="1"/>
    <col min="3" max="5" width="4.8515625" style="2" hidden="1" customWidth="1"/>
    <col min="6" max="7" width="33.57421875" style="2" bestFit="1" customWidth="1"/>
    <col min="8" max="8" width="22.57421875" style="2" hidden="1" customWidth="1"/>
    <col min="9" max="9" width="18.421875" style="2" customWidth="1"/>
    <col min="10" max="10" width="9.421875" style="2" customWidth="1"/>
    <col min="11" max="11" width="6.140625" style="2" customWidth="1"/>
    <col min="12" max="12" width="10.7109375" style="2" customWidth="1"/>
    <col min="13" max="13" width="5.00390625" style="194" hidden="1" customWidth="1"/>
    <col min="14" max="14" width="9.140625" style="2" customWidth="1"/>
    <col min="15" max="15" width="17.28125" style="2" bestFit="1" customWidth="1"/>
    <col min="16" max="16" width="9.140625" style="2" customWidth="1"/>
    <col min="17" max="17" width="9.140625" style="2" hidden="1" customWidth="1"/>
    <col min="18" max="18" width="12.7109375" style="2" hidden="1" customWidth="1"/>
    <col min="19" max="22" width="9.140625" style="2" hidden="1" customWidth="1"/>
    <col min="23" max="16384" width="9.140625" style="2" customWidth="1"/>
  </cols>
  <sheetData>
    <row r="1" spans="1:10" ht="15" hidden="1">
      <c r="A1" s="1"/>
      <c r="B1" s="173"/>
      <c r="C1" s="1"/>
      <c r="D1" s="1"/>
      <c r="E1" s="1"/>
      <c r="F1" s="1"/>
      <c r="G1" s="1"/>
      <c r="H1" s="1"/>
      <c r="I1" s="1"/>
      <c r="J1" s="1"/>
    </row>
    <row r="2" spans="1:10" ht="15">
      <c r="A2" s="1" t="s">
        <v>1022</v>
      </c>
      <c r="B2" s="173"/>
      <c r="C2" s="1"/>
      <c r="D2" s="1"/>
      <c r="E2" s="1"/>
      <c r="F2" s="1"/>
      <c r="G2" s="1"/>
      <c r="H2" s="1"/>
      <c r="I2" s="1"/>
      <c r="J2" s="1"/>
    </row>
    <row r="3" spans="1:10" ht="15" hidden="1">
      <c r="A3" s="1"/>
      <c r="B3" s="173"/>
      <c r="C3" s="1"/>
      <c r="D3" s="1"/>
      <c r="E3" s="1"/>
      <c r="F3" s="1"/>
      <c r="G3" s="1"/>
      <c r="H3" s="1"/>
      <c r="I3" s="1"/>
      <c r="J3" s="1"/>
    </row>
    <row r="4" spans="1:10" ht="15">
      <c r="A4" s="1" t="s">
        <v>486</v>
      </c>
      <c r="B4" s="173"/>
      <c r="C4" s="1"/>
      <c r="D4" s="1"/>
      <c r="E4" s="1"/>
      <c r="F4" s="1"/>
      <c r="G4" s="1"/>
      <c r="H4" s="1"/>
      <c r="I4" s="1"/>
      <c r="J4" s="1"/>
    </row>
    <row r="5" spans="1:10" ht="15">
      <c r="A5" s="1" t="s">
        <v>1084</v>
      </c>
      <c r="B5" s="173"/>
      <c r="C5" s="1"/>
      <c r="D5" s="1"/>
      <c r="E5" s="1"/>
      <c r="F5" s="1"/>
      <c r="G5" s="1"/>
      <c r="H5" s="1"/>
      <c r="I5" s="1"/>
      <c r="J5" s="1"/>
    </row>
    <row r="6" spans="1:10" ht="15">
      <c r="A6" s="1" t="s">
        <v>1023</v>
      </c>
      <c r="B6" s="173"/>
      <c r="C6" s="1"/>
      <c r="D6" s="1"/>
      <c r="E6" s="1"/>
      <c r="F6" s="1"/>
      <c r="G6" s="21" t="s">
        <v>1899</v>
      </c>
      <c r="H6" s="1"/>
      <c r="I6" s="1"/>
      <c r="J6" s="1"/>
    </row>
    <row r="7" spans="1:10" ht="15.75" thickBot="1">
      <c r="A7" s="1"/>
      <c r="B7" s="173"/>
      <c r="C7" s="1"/>
      <c r="D7" s="1"/>
      <c r="E7" s="1"/>
      <c r="F7" s="1"/>
      <c r="G7" s="1"/>
      <c r="H7" s="1"/>
      <c r="I7" s="1"/>
      <c r="J7" s="1"/>
    </row>
    <row r="8" spans="1:22" ht="16.5" thickBot="1">
      <c r="A8" s="246" t="s">
        <v>1680</v>
      </c>
      <c r="B8" s="191"/>
      <c r="C8" s="38"/>
      <c r="D8" s="38"/>
      <c r="E8" s="38"/>
      <c r="F8" s="39" t="s">
        <v>1024</v>
      </c>
      <c r="G8" s="39" t="s">
        <v>1025</v>
      </c>
      <c r="H8" s="39" t="s">
        <v>1026</v>
      </c>
      <c r="I8" s="40" t="s">
        <v>551</v>
      </c>
      <c r="J8" s="248" t="s">
        <v>1681</v>
      </c>
      <c r="K8" s="190" t="s">
        <v>662</v>
      </c>
      <c r="L8" s="190"/>
      <c r="O8" s="190" t="s">
        <v>396</v>
      </c>
      <c r="Q8" s="2">
        <f>COUNTA(SP64!D3:E34)/2-COUNT(SP64!AR3:AR34)</f>
        <v>32</v>
      </c>
      <c r="R8" s="204" t="e">
        <f>IF(AND(Q8&lt;=$O$11,Q8&gt;0),1,Q8/$O$11)*Auslosung_Turnierdaten!$R$23</f>
        <v>#DIV/0!</v>
      </c>
      <c r="S8" s="2" t="s">
        <v>1061</v>
      </c>
      <c r="U8" s="2">
        <f>MAX(U9:U72)</f>
        <v>0</v>
      </c>
      <c r="V8" s="2">
        <f>MAX(V9:V40)</f>
        <v>0</v>
      </c>
    </row>
    <row r="9" spans="1:22" s="22" customFormat="1" ht="15.75">
      <c r="A9" s="247"/>
      <c r="B9" s="229">
        <v>1</v>
      </c>
      <c r="C9" s="34">
        <f aca="true" ca="1" t="shared" si="0" ref="C9:C40">IF(OR(F9="",F9="Freilos"),1.01,RAND())</f>
        <v>1.01</v>
      </c>
      <c r="D9" s="35" t="str">
        <f aca="true" t="shared" si="1" ref="D9:D40">IF(C9&lt;=1,F9,"Freilos")</f>
        <v>Freilos</v>
      </c>
      <c r="E9" s="35" t="s">
        <v>1087</v>
      </c>
      <c r="F9" s="235"/>
      <c r="G9" s="36"/>
      <c r="H9" s="36"/>
      <c r="I9" s="37"/>
      <c r="J9" s="249"/>
      <c r="K9" s="192">
        <v>1</v>
      </c>
      <c r="L9" s="195"/>
      <c r="M9" s="193">
        <f>IF(L9="","",IF(COUNTIF(SP64!$AP$3:$AP$129,L9)=1,"",L9&amp;"-"))</f>
      </c>
      <c r="O9" s="205">
        <f>IF(COUNT(SP64!AS3:AS129)&gt;0,MIN(SP64!AS3:AS129),0)</f>
        <v>0</v>
      </c>
      <c r="Q9" s="2">
        <f>COUNTA(SP64!D35:E66)/2-COUNT(SP64!AR35:AR66)</f>
        <v>32</v>
      </c>
      <c r="R9" s="204" t="e">
        <f>IF(AND(Q9&lt;=$O$11,Q9&gt;0),1,Q9/$O$11)*Auslosung_Turnierdaten!$R$23</f>
        <v>#DIV/0!</v>
      </c>
      <c r="S9" s="2" t="s">
        <v>401</v>
      </c>
      <c r="U9" s="22">
        <f aca="true" t="shared" si="2" ref="U9:U40">IF(OR(F9="",F9="Freilos"),0,COUNTIF(F$9:F$72,F9))</f>
        <v>0</v>
      </c>
      <c r="V9" s="22">
        <f>IF(L9="",0,COUNTIF(L$9:L$40,L9))</f>
        <v>0</v>
      </c>
    </row>
    <row r="10" spans="1:22" s="22" customFormat="1" ht="15.75">
      <c r="A10" s="247"/>
      <c r="B10" s="230">
        <v>2</v>
      </c>
      <c r="C10" s="30">
        <f ca="1" t="shared" si="0"/>
        <v>1.01</v>
      </c>
      <c r="D10" s="31" t="str">
        <f t="shared" si="1"/>
        <v>Freilos</v>
      </c>
      <c r="E10" s="31" t="s">
        <v>1088</v>
      </c>
      <c r="F10" s="29"/>
      <c r="G10" s="36"/>
      <c r="H10" s="36"/>
      <c r="I10" s="37"/>
      <c r="J10" s="249"/>
      <c r="K10" s="192">
        <v>2</v>
      </c>
      <c r="L10" s="195"/>
      <c r="M10" s="193">
        <f>IF(L10="","",IF(COUNTIF(SP64!$AP$3:$AP$129,L10)=1,"",L10&amp;"-"))</f>
      </c>
      <c r="O10" s="190" t="s">
        <v>397</v>
      </c>
      <c r="Q10" s="2">
        <f>COUNTA(SP64!D67:E82)/2-COUNT(SP64!AR67:AR82)</f>
        <v>16</v>
      </c>
      <c r="R10" s="204" t="e">
        <f>IF(AND(Q10&lt;=$O$11,Q10&gt;0),1,Q10/$O$11)*Auslosung_Turnierdaten!$R$23</f>
        <v>#DIV/0!</v>
      </c>
      <c r="S10" s="2" t="s">
        <v>1064</v>
      </c>
      <c r="U10" s="22">
        <f t="shared" si="2"/>
        <v>0</v>
      </c>
      <c r="V10" s="22">
        <f aca="true" t="shared" si="3" ref="V10:V39">IF(L10="",0,COUNTIF(L$9:L$40,L10))</f>
        <v>0</v>
      </c>
    </row>
    <row r="11" spans="1:22" s="22" customFormat="1" ht="15.75">
      <c r="A11" s="247"/>
      <c r="B11" s="230">
        <v>3</v>
      </c>
      <c r="C11" s="30">
        <f ca="1" t="shared" si="0"/>
        <v>1.01</v>
      </c>
      <c r="D11" s="31" t="str">
        <f t="shared" si="1"/>
        <v>Freilos</v>
      </c>
      <c r="E11" s="31" t="s">
        <v>1088</v>
      </c>
      <c r="F11" s="29"/>
      <c r="G11" s="36"/>
      <c r="H11" s="36"/>
      <c r="I11" s="37"/>
      <c r="J11" s="249"/>
      <c r="K11" s="192">
        <v>3</v>
      </c>
      <c r="L11" s="195"/>
      <c r="M11" s="193">
        <f>IF(L11="","",IF(COUNTIF(SP64!$AP$3:$AP$129,L11)=1,"",L11&amp;"-"))</f>
      </c>
      <c r="O11" s="195">
        <f>IF((COUNTA(L9:L40))&gt;0,(COUNTA(L9:L40)),0)</f>
        <v>0</v>
      </c>
      <c r="Q11" s="2">
        <f>COUNTA(SP64!D83:E98)/2-COUNT(SP64!AR83:AR98)</f>
        <v>16</v>
      </c>
      <c r="R11" s="204" t="e">
        <f>IF(AND(Q11&lt;=$O$11,Q11&gt;0),1,Q11/$O$11)*Auslosung_Turnierdaten!$R$23</f>
        <v>#DIV/0!</v>
      </c>
      <c r="S11" s="2" t="s">
        <v>402</v>
      </c>
      <c r="U11" s="22">
        <f t="shared" si="2"/>
        <v>0</v>
      </c>
      <c r="V11" s="22">
        <f t="shared" si="3"/>
        <v>0</v>
      </c>
    </row>
    <row r="12" spans="1:22" s="22" customFormat="1" ht="15.75">
      <c r="A12" s="247"/>
      <c r="B12" s="230">
        <v>4</v>
      </c>
      <c r="C12" s="30">
        <f ca="1" t="shared" si="0"/>
        <v>1.01</v>
      </c>
      <c r="D12" s="31" t="str">
        <f t="shared" si="1"/>
        <v>Freilos</v>
      </c>
      <c r="E12" s="31" t="s">
        <v>1088</v>
      </c>
      <c r="F12" s="29"/>
      <c r="G12" s="36"/>
      <c r="H12" s="36"/>
      <c r="I12" s="37"/>
      <c r="J12" s="249"/>
      <c r="K12" s="192">
        <v>4</v>
      </c>
      <c r="L12" s="195"/>
      <c r="M12" s="193">
        <f>IF(L12="","",IF(COUNTIF(SP64!$AP$3:$AP$129,L12)=1,"",L12&amp;"-"))</f>
      </c>
      <c r="O12" s="190" t="s">
        <v>398</v>
      </c>
      <c r="Q12" s="2">
        <f>COUNTA(SP64!D99:E106)/2-COUNT(SP64!AR99:AR106)</f>
        <v>8</v>
      </c>
      <c r="R12" s="204" t="e">
        <f>IF(AND(Q12&lt;=$O$11,Q12&gt;0),1,Q12/$O$11)*Auslosung_Turnierdaten!$R$23</f>
        <v>#DIV/0!</v>
      </c>
      <c r="S12" s="2" t="s">
        <v>1066</v>
      </c>
      <c r="U12" s="22">
        <f t="shared" si="2"/>
        <v>0</v>
      </c>
      <c r="V12" s="22">
        <f t="shared" si="3"/>
        <v>0</v>
      </c>
    </row>
    <row r="13" spans="1:22" s="22" customFormat="1" ht="15.75">
      <c r="A13" s="247"/>
      <c r="B13" s="230">
        <v>5</v>
      </c>
      <c r="C13" s="30">
        <f ca="1" t="shared" si="0"/>
        <v>1.01</v>
      </c>
      <c r="D13" s="31" t="str">
        <f t="shared" si="1"/>
        <v>Freilos</v>
      </c>
      <c r="E13" s="31" t="s">
        <v>1088</v>
      </c>
      <c r="F13" s="29"/>
      <c r="G13" s="36"/>
      <c r="H13" s="36"/>
      <c r="I13" s="37"/>
      <c r="J13" s="249"/>
      <c r="K13" s="192">
        <v>5</v>
      </c>
      <c r="L13" s="195"/>
      <c r="M13" s="193">
        <f>IF(L13="","",IF(COUNTIF(SP64!$AP$3:$AP$129,L13)=1,"",L13&amp;"-"))</f>
      </c>
      <c r="O13" s="195">
        <f>COUNTA(SP64!D3:E129)/2-COUNT(SP64!AR3:AR129)</f>
        <v>127</v>
      </c>
      <c r="Q13" s="2">
        <f>COUNTA(SP64!D107:E114)/2-COUNT(SP64!AR107:AR114)</f>
        <v>8</v>
      </c>
      <c r="R13" s="204" t="e">
        <f>IF(AND(Q13&lt;=$O$11,Q13&gt;0),1,Q13/$O$11)*Auslosung_Turnierdaten!$R$23</f>
        <v>#DIV/0!</v>
      </c>
      <c r="S13" s="2" t="s">
        <v>403</v>
      </c>
      <c r="U13" s="22">
        <f t="shared" si="2"/>
        <v>0</v>
      </c>
      <c r="V13" s="22">
        <f t="shared" si="3"/>
        <v>0</v>
      </c>
    </row>
    <row r="14" spans="1:22" s="22" customFormat="1" ht="15.75">
      <c r="A14" s="247"/>
      <c r="B14" s="230">
        <v>6</v>
      </c>
      <c r="C14" s="30">
        <f ca="1" t="shared" si="0"/>
        <v>1.01</v>
      </c>
      <c r="D14" s="31" t="str">
        <f t="shared" si="1"/>
        <v>Freilos</v>
      </c>
      <c r="E14" s="31" t="s">
        <v>1088</v>
      </c>
      <c r="F14" s="29"/>
      <c r="G14" s="36"/>
      <c r="H14" s="236"/>
      <c r="I14" s="237"/>
      <c r="J14" s="249"/>
      <c r="K14" s="192">
        <v>6</v>
      </c>
      <c r="L14" s="195"/>
      <c r="M14" s="193">
        <f>IF(L14="","",IF(COUNTIF(SP64!$AP$3:$AP$129,L14)=1,"",L14&amp;"-"))</f>
      </c>
      <c r="O14" s="190" t="s">
        <v>399</v>
      </c>
      <c r="Q14" s="2">
        <f>COUNTA(SP64!D115:E118)/2-COUNT(SP64!AR115:AR118)</f>
        <v>4</v>
      </c>
      <c r="R14" s="204" t="e">
        <f>IF(AND(Q14&lt;=$O$11,Q14&gt;0),1,Q14/$O$11)*Auslosung_Turnierdaten!$R$23</f>
        <v>#DIV/0!</v>
      </c>
      <c r="S14" s="2" t="s">
        <v>1068</v>
      </c>
      <c r="U14" s="22">
        <f t="shared" si="2"/>
        <v>0</v>
      </c>
      <c r="V14" s="22">
        <f t="shared" si="3"/>
        <v>0</v>
      </c>
    </row>
    <row r="15" spans="1:22" s="22" customFormat="1" ht="15.75">
      <c r="A15" s="247"/>
      <c r="B15" s="230">
        <v>7</v>
      </c>
      <c r="C15" s="30">
        <f ca="1" t="shared" si="0"/>
        <v>1.01</v>
      </c>
      <c r="D15" s="31" t="str">
        <f t="shared" si="1"/>
        <v>Freilos</v>
      </c>
      <c r="E15" s="31" t="s">
        <v>1088</v>
      </c>
      <c r="F15" s="29"/>
      <c r="G15" s="36"/>
      <c r="H15" s="36"/>
      <c r="I15" s="37"/>
      <c r="J15" s="249"/>
      <c r="K15" s="192">
        <v>7</v>
      </c>
      <c r="L15" s="195"/>
      <c r="M15" s="193">
        <f>IF(L15="","",IF(COUNTIF(SP64!$AP$3:$AP$129,L15)=1,"",L15&amp;"-"))</f>
      </c>
      <c r="O15" s="205">
        <f>MAX(R23:R24)</f>
        <v>0</v>
      </c>
      <c r="Q15" s="2">
        <f>COUNTA(SP64!D119:E122)/2-COUNT(SP64!AR119:AR122)</f>
        <v>4</v>
      </c>
      <c r="R15" s="204" t="e">
        <f>IF(AND(Q15&lt;=$O$11,Q15&gt;0),1,Q15/$O$11)*Auslosung_Turnierdaten!$R$23</f>
        <v>#DIV/0!</v>
      </c>
      <c r="S15" s="2" t="s">
        <v>407</v>
      </c>
      <c r="U15" s="22">
        <f t="shared" si="2"/>
        <v>0</v>
      </c>
      <c r="V15" s="22">
        <f t="shared" si="3"/>
        <v>0</v>
      </c>
    </row>
    <row r="16" spans="1:22" s="22" customFormat="1" ht="15.75">
      <c r="A16" s="247"/>
      <c r="B16" s="230">
        <v>8</v>
      </c>
      <c r="C16" s="30">
        <f ca="1" t="shared" si="0"/>
        <v>1.01</v>
      </c>
      <c r="D16" s="31" t="str">
        <f t="shared" si="1"/>
        <v>Freilos</v>
      </c>
      <c r="E16" s="31" t="s">
        <v>1088</v>
      </c>
      <c r="F16" s="29"/>
      <c r="G16" s="36"/>
      <c r="H16" s="36"/>
      <c r="I16" s="37"/>
      <c r="J16" s="249"/>
      <c r="K16" s="192">
        <v>8</v>
      </c>
      <c r="L16" s="195"/>
      <c r="M16" s="193">
        <f>IF(L16="","",IF(COUNTIF(SP64!$AP$3:$AP$129,L16)=1,"",L16&amp;"-"))</f>
      </c>
      <c r="O16" s="190" t="s">
        <v>400</v>
      </c>
      <c r="Q16" s="2">
        <f>COUNTA(SP64!D123:E124)/2-COUNT(SP64!AR123:AR124)</f>
        <v>2</v>
      </c>
      <c r="R16" s="204" t="e">
        <f>IF(AND(Q16&lt;=$O$11,Q16&gt;0),1,Q16/$O$11)*Auslosung_Turnierdaten!$R$23</f>
        <v>#DIV/0!</v>
      </c>
      <c r="S16" s="2" t="s">
        <v>1081</v>
      </c>
      <c r="U16" s="22">
        <f t="shared" si="2"/>
        <v>0</v>
      </c>
      <c r="V16" s="22">
        <f t="shared" si="3"/>
        <v>0</v>
      </c>
    </row>
    <row r="17" spans="1:22" s="22" customFormat="1" ht="15.75">
      <c r="A17" s="247"/>
      <c r="B17" s="230">
        <v>9</v>
      </c>
      <c r="C17" s="30">
        <f ca="1" t="shared" si="0"/>
        <v>1.01</v>
      </c>
      <c r="D17" s="31" t="str">
        <f t="shared" si="1"/>
        <v>Freilos</v>
      </c>
      <c r="E17" s="31" t="s">
        <v>1088</v>
      </c>
      <c r="F17" s="29"/>
      <c r="G17" s="36"/>
      <c r="H17" s="36"/>
      <c r="I17" s="37"/>
      <c r="J17" s="249"/>
      <c r="K17" s="192">
        <v>9</v>
      </c>
      <c r="L17" s="195"/>
      <c r="M17" s="193">
        <f>IF(L17="","",IF(COUNTIF(SP64!$AP$3:$AP$129,L17)=1,"",L17&amp;"-"))</f>
      </c>
      <c r="O17" s="205">
        <f>IF(O11&gt;0,O9+R21,0)</f>
        <v>0</v>
      </c>
      <c r="Q17" s="2">
        <f>COUNTA(SP64!D125:E126)/2-COUNT(SP64!AR125:AR126)</f>
        <v>2</v>
      </c>
      <c r="R17" s="204" t="e">
        <f>IF(AND(Q17&lt;=$O$11,Q17&gt;0),1,Q17/$O$11)*Auslosung_Turnierdaten!$R$23</f>
        <v>#DIV/0!</v>
      </c>
      <c r="S17" s="2" t="s">
        <v>408</v>
      </c>
      <c r="U17" s="22">
        <f t="shared" si="2"/>
        <v>0</v>
      </c>
      <c r="V17" s="22">
        <f t="shared" si="3"/>
        <v>0</v>
      </c>
    </row>
    <row r="18" spans="1:22" s="22" customFormat="1" ht="15.75">
      <c r="A18" s="247"/>
      <c r="B18" s="230">
        <v>10</v>
      </c>
      <c r="C18" s="30">
        <f ca="1" t="shared" si="0"/>
        <v>1.01</v>
      </c>
      <c r="D18" s="31" t="str">
        <f t="shared" si="1"/>
        <v>Freilos</v>
      </c>
      <c r="E18" s="31" t="s">
        <v>1088</v>
      </c>
      <c r="F18" s="29"/>
      <c r="G18" s="36"/>
      <c r="H18" s="36"/>
      <c r="I18" s="37"/>
      <c r="J18" s="249"/>
      <c r="K18" s="192">
        <v>10</v>
      </c>
      <c r="L18" s="195"/>
      <c r="M18" s="193">
        <f>IF(L18="","",IF(COUNTIF(SP64!$AP$3:$AP$129,L18)=1,"",L18&amp;"-"))</f>
      </c>
      <c r="Q18" s="2">
        <f>COUNTA(SP64!D127:E127)/2-COUNT(SP64!AR127:AR127)</f>
        <v>1</v>
      </c>
      <c r="R18" s="204" t="e">
        <f>IF(AND(Q18&lt;=$O$11,Q18&gt;0),1,Q18/$O$11)*Auslosung_Turnierdaten!$R$23</f>
        <v>#DIV/0!</v>
      </c>
      <c r="S18" s="2" t="s">
        <v>1086</v>
      </c>
      <c r="U18" s="22">
        <f t="shared" si="2"/>
        <v>0</v>
      </c>
      <c r="V18" s="22">
        <f t="shared" si="3"/>
        <v>0</v>
      </c>
    </row>
    <row r="19" spans="1:22" s="22" customFormat="1" ht="15.75">
      <c r="A19" s="247"/>
      <c r="B19" s="230">
        <v>11</v>
      </c>
      <c r="C19" s="30">
        <f ca="1" t="shared" si="0"/>
        <v>1.01</v>
      </c>
      <c r="D19" s="31" t="str">
        <f t="shared" si="1"/>
        <v>Freilos</v>
      </c>
      <c r="E19" s="31" t="s">
        <v>1088</v>
      </c>
      <c r="F19" s="29"/>
      <c r="G19" s="36"/>
      <c r="H19" s="36"/>
      <c r="I19" s="37"/>
      <c r="J19" s="249"/>
      <c r="K19" s="192">
        <v>11</v>
      </c>
      <c r="L19" s="195"/>
      <c r="M19" s="193">
        <f>IF(L19="","",IF(COUNTIF(SP64!$AP$3:$AP$129,L19)=1,"",L19&amp;"-"))</f>
      </c>
      <c r="Q19" s="2">
        <f>COUNTA(SP64!D128:E128)/2-COUNT(SP64!AR128:AR128)</f>
        <v>1</v>
      </c>
      <c r="R19" s="204" t="e">
        <f>IF(AND(Q19&lt;=$O$11,Q19&gt;0),1,Q19/$O$11)*Auslosung_Turnierdaten!$R$23</f>
        <v>#DIV/0!</v>
      </c>
      <c r="S19" s="2" t="s">
        <v>1069</v>
      </c>
      <c r="U19" s="22">
        <f t="shared" si="2"/>
        <v>0</v>
      </c>
      <c r="V19" s="22">
        <f t="shared" si="3"/>
        <v>0</v>
      </c>
    </row>
    <row r="20" spans="1:22" s="22" customFormat="1" ht="15.75">
      <c r="A20" s="247"/>
      <c r="B20" s="230">
        <v>12</v>
      </c>
      <c r="C20" s="30">
        <f ca="1" t="shared" si="0"/>
        <v>1.01</v>
      </c>
      <c r="D20" s="31" t="str">
        <f t="shared" si="1"/>
        <v>Freilos</v>
      </c>
      <c r="E20" s="31" t="s">
        <v>1088</v>
      </c>
      <c r="F20" s="29"/>
      <c r="G20" s="36"/>
      <c r="H20" s="36"/>
      <c r="I20" s="37"/>
      <c r="J20" s="249"/>
      <c r="K20" s="192">
        <v>12</v>
      </c>
      <c r="L20" s="195"/>
      <c r="M20" s="193">
        <f>IF(L20="","",IF(COUNTIF(SP64!$AP$3:$AP$129,L20)=1,"",L20&amp;"-"))</f>
      </c>
      <c r="Q20" s="2">
        <f>COUNTA(SP64!D129:E129)/2-COUNT(SP64!AR129:AR129)</f>
        <v>1</v>
      </c>
      <c r="R20" s="204" t="e">
        <f>IF(AND(Q20&lt;=$O$11,Q20&gt;0),1,Q20/$O$11)*Auslosung_Turnierdaten!$R$23</f>
        <v>#DIV/0!</v>
      </c>
      <c r="S20" s="2" t="s">
        <v>1070</v>
      </c>
      <c r="U20" s="22">
        <f t="shared" si="2"/>
        <v>0</v>
      </c>
      <c r="V20" s="22">
        <f t="shared" si="3"/>
        <v>0</v>
      </c>
    </row>
    <row r="21" spans="1:22" s="22" customFormat="1" ht="15.75">
      <c r="A21" s="247"/>
      <c r="B21" s="230">
        <v>13</v>
      </c>
      <c r="C21" s="30">
        <f ca="1" t="shared" si="0"/>
        <v>1.01</v>
      </c>
      <c r="D21" s="31" t="str">
        <f t="shared" si="1"/>
        <v>Freilos</v>
      </c>
      <c r="E21" s="31" t="s">
        <v>1088</v>
      </c>
      <c r="F21" s="29"/>
      <c r="G21" s="36"/>
      <c r="H21" s="36"/>
      <c r="I21" s="37"/>
      <c r="J21" s="249"/>
      <c r="K21" s="192">
        <v>13</v>
      </c>
      <c r="L21" s="195"/>
      <c r="M21" s="193">
        <f>IF(L21="","",IF(COUNTIF(SP64!$AP$3:$AP$129,L21)=1,"",L21&amp;"-"))</f>
      </c>
      <c r="Q21" s="2">
        <f>SUM(Q8:Q20)</f>
        <v>127</v>
      </c>
      <c r="R21" s="204" t="e">
        <f>IF(AND(Q21&lt;=$O$11,Q21&gt;0),1,Q21/$O$11)*Auslosung_Turnierdaten!$R$23</f>
        <v>#DIV/0!</v>
      </c>
      <c r="S21" s="2"/>
      <c r="U21" s="22">
        <f t="shared" si="2"/>
        <v>0</v>
      </c>
      <c r="V21" s="22">
        <f t="shared" si="3"/>
        <v>0</v>
      </c>
    </row>
    <row r="22" spans="1:22" s="22" customFormat="1" ht="12.75">
      <c r="A22" s="247"/>
      <c r="B22" s="230">
        <v>14</v>
      </c>
      <c r="C22" s="30">
        <f ca="1" t="shared" si="0"/>
        <v>1.01</v>
      </c>
      <c r="D22" s="31" t="str">
        <f t="shared" si="1"/>
        <v>Freilos</v>
      </c>
      <c r="E22" s="31" t="s">
        <v>1088</v>
      </c>
      <c r="F22" s="29"/>
      <c r="G22" s="36"/>
      <c r="H22" s="36"/>
      <c r="I22" s="37"/>
      <c r="J22" s="249"/>
      <c r="K22" s="192">
        <v>14</v>
      </c>
      <c r="L22" s="195"/>
      <c r="M22" s="193">
        <f>IF(L22="","",IF(COUNTIF(SP64!$AP$3:$AP$129,L22)=1,"",L22&amp;"-"))</f>
      </c>
      <c r="Q22" s="2"/>
      <c r="S22" s="2"/>
      <c r="U22" s="22">
        <f t="shared" si="2"/>
        <v>0</v>
      </c>
      <c r="V22" s="22">
        <f t="shared" si="3"/>
        <v>0</v>
      </c>
    </row>
    <row r="23" spans="1:22" s="22" customFormat="1" ht="12.75" customHeight="1">
      <c r="A23" s="247"/>
      <c r="B23" s="230">
        <v>15</v>
      </c>
      <c r="C23" s="30">
        <f ca="1" t="shared" si="0"/>
        <v>1.01</v>
      </c>
      <c r="D23" s="31" t="str">
        <f t="shared" si="1"/>
        <v>Freilos</v>
      </c>
      <c r="E23" s="31" t="s">
        <v>1088</v>
      </c>
      <c r="F23" s="29"/>
      <c r="G23" s="36"/>
      <c r="H23" s="36"/>
      <c r="I23" s="37"/>
      <c r="J23" s="249"/>
      <c r="K23" s="192">
        <v>15</v>
      </c>
      <c r="L23" s="195"/>
      <c r="M23" s="193">
        <f>IF(L23="","",IF(COUNTIF(SP64!$AP$3:$AP$129,L23)=1,"",L23&amp;"-"))</f>
      </c>
      <c r="R23" s="204">
        <f>IF(COUNTIF(SP64!AU3:AU129,"&gt;0")&gt;0,SUM(SP64!AU3:AU129)/COUNTIF(SP64!AU3:AU129,"&gt;0"),0)</f>
        <v>0</v>
      </c>
      <c r="U23" s="22">
        <f t="shared" si="2"/>
        <v>0</v>
      </c>
      <c r="V23" s="22">
        <f t="shared" si="3"/>
        <v>0</v>
      </c>
    </row>
    <row r="24" spans="1:22" s="22" customFormat="1" ht="12" customHeight="1">
      <c r="A24" s="247"/>
      <c r="B24" s="230">
        <v>16</v>
      </c>
      <c r="C24" s="30">
        <f ca="1" t="shared" si="0"/>
        <v>1.01</v>
      </c>
      <c r="D24" s="31" t="str">
        <f t="shared" si="1"/>
        <v>Freilos</v>
      </c>
      <c r="E24" s="31" t="s">
        <v>1088</v>
      </c>
      <c r="F24" s="29"/>
      <c r="G24" s="36"/>
      <c r="H24" s="36"/>
      <c r="I24" s="37"/>
      <c r="J24" s="249"/>
      <c r="K24" s="192">
        <v>16</v>
      </c>
      <c r="L24" s="195"/>
      <c r="M24" s="193">
        <f>IF(L24="","",IF(COUNTIF(SP64!$AP$3:$AP$129,L24)=1,"",L24&amp;"-"))</f>
      </c>
      <c r="R24" s="204">
        <f>IF(SUM(SP64!F129:G129)&gt;0,(O17-O9)/O13,(O17-O9)/(O13-1))</f>
        <v>0</v>
      </c>
      <c r="U24" s="22">
        <f t="shared" si="2"/>
        <v>0</v>
      </c>
      <c r="V24" s="22">
        <f t="shared" si="3"/>
        <v>0</v>
      </c>
    </row>
    <row r="25" spans="1:22" s="22" customFormat="1" ht="12.75">
      <c r="A25" s="247"/>
      <c r="B25" s="230">
        <v>17</v>
      </c>
      <c r="C25" s="30">
        <f ca="1" t="shared" si="0"/>
        <v>1.01</v>
      </c>
      <c r="D25" s="31" t="str">
        <f t="shared" si="1"/>
        <v>Freilos</v>
      </c>
      <c r="E25" s="31" t="s">
        <v>1088</v>
      </c>
      <c r="F25" s="29"/>
      <c r="G25" s="36"/>
      <c r="H25" s="36"/>
      <c r="I25" s="37"/>
      <c r="J25" s="249"/>
      <c r="K25" s="192">
        <v>17</v>
      </c>
      <c r="L25" s="195"/>
      <c r="M25" s="193">
        <f>IF(L25="","",IF(COUNTIF(SP64!$AP$3:$AP$129,L25)=1,"",L25&amp;"-"))</f>
      </c>
      <c r="U25" s="22">
        <f t="shared" si="2"/>
        <v>0</v>
      </c>
      <c r="V25" s="22">
        <f t="shared" si="3"/>
        <v>0</v>
      </c>
    </row>
    <row r="26" spans="1:22" s="22" customFormat="1" ht="12.75">
      <c r="A26" s="247"/>
      <c r="B26" s="230">
        <v>18</v>
      </c>
      <c r="C26" s="30">
        <f ca="1" t="shared" si="0"/>
        <v>1.01</v>
      </c>
      <c r="D26" s="31" t="str">
        <f t="shared" si="1"/>
        <v>Freilos</v>
      </c>
      <c r="E26" s="31" t="s">
        <v>1088</v>
      </c>
      <c r="F26" s="29"/>
      <c r="G26" s="36"/>
      <c r="H26" s="236"/>
      <c r="I26" s="237"/>
      <c r="J26" s="249"/>
      <c r="K26" s="192">
        <v>18</v>
      </c>
      <c r="L26" s="195"/>
      <c r="M26" s="193">
        <f>IF(L26="","",IF(COUNTIF(SP64!$AP$3:$AP$129,L26)=1,"",L26&amp;"-"))</f>
      </c>
      <c r="U26" s="22">
        <f t="shared" si="2"/>
        <v>0</v>
      </c>
      <c r="V26" s="22">
        <f t="shared" si="3"/>
        <v>0</v>
      </c>
    </row>
    <row r="27" spans="1:22" s="22" customFormat="1" ht="12.75">
      <c r="A27" s="247"/>
      <c r="B27" s="230">
        <v>19</v>
      </c>
      <c r="C27" s="30">
        <f ca="1" t="shared" si="0"/>
        <v>1.01</v>
      </c>
      <c r="D27" s="31" t="str">
        <f t="shared" si="1"/>
        <v>Freilos</v>
      </c>
      <c r="E27" s="31" t="s">
        <v>1088</v>
      </c>
      <c r="F27" s="29"/>
      <c r="G27" s="36"/>
      <c r="H27" s="36"/>
      <c r="I27" s="37"/>
      <c r="J27" s="249"/>
      <c r="K27" s="192">
        <v>19</v>
      </c>
      <c r="L27" s="195"/>
      <c r="M27" s="193">
        <f>IF(L27="","",IF(COUNTIF(SP64!$AP$3:$AP$129,L27)=1,"",L27&amp;"-"))</f>
      </c>
      <c r="U27" s="22">
        <f t="shared" si="2"/>
        <v>0</v>
      </c>
      <c r="V27" s="22">
        <f t="shared" si="3"/>
        <v>0</v>
      </c>
    </row>
    <row r="28" spans="1:22" s="22" customFormat="1" ht="12.75">
      <c r="A28" s="247"/>
      <c r="B28" s="230">
        <v>20</v>
      </c>
      <c r="C28" s="30">
        <f ca="1" t="shared" si="0"/>
        <v>1.01</v>
      </c>
      <c r="D28" s="31" t="str">
        <f t="shared" si="1"/>
        <v>Freilos</v>
      </c>
      <c r="E28" s="31" t="s">
        <v>1088</v>
      </c>
      <c r="F28" s="29"/>
      <c r="G28" s="36"/>
      <c r="H28" s="36"/>
      <c r="I28" s="37"/>
      <c r="J28" s="249"/>
      <c r="K28" s="192">
        <v>20</v>
      </c>
      <c r="L28" s="195"/>
      <c r="M28" s="193">
        <f>IF(L28="","",IF(COUNTIF(SP64!$AP$3:$AP$129,L28)=1,"",L28&amp;"-"))</f>
      </c>
      <c r="U28" s="22">
        <f t="shared" si="2"/>
        <v>0</v>
      </c>
      <c r="V28" s="22">
        <f t="shared" si="3"/>
        <v>0</v>
      </c>
    </row>
    <row r="29" spans="1:22" s="22" customFormat="1" ht="12.75">
      <c r="A29" s="247"/>
      <c r="B29" s="230">
        <v>21</v>
      </c>
      <c r="C29" s="30">
        <f ca="1" t="shared" si="0"/>
        <v>1.01</v>
      </c>
      <c r="D29" s="31" t="str">
        <f t="shared" si="1"/>
        <v>Freilos</v>
      </c>
      <c r="E29" s="31" t="s">
        <v>1088</v>
      </c>
      <c r="F29" s="29"/>
      <c r="G29" s="36"/>
      <c r="H29" s="36"/>
      <c r="I29" s="37"/>
      <c r="J29" s="249"/>
      <c r="K29" s="192">
        <v>21</v>
      </c>
      <c r="L29" s="195"/>
      <c r="M29" s="193">
        <f>IF(L29="","",IF(COUNTIF(SP64!$AP$3:$AP$129,L29)=1,"",L29&amp;"-"))</f>
      </c>
      <c r="U29" s="22">
        <f t="shared" si="2"/>
        <v>0</v>
      </c>
      <c r="V29" s="22">
        <f t="shared" si="3"/>
        <v>0</v>
      </c>
    </row>
    <row r="30" spans="1:22" s="22" customFormat="1" ht="12.75">
      <c r="A30" s="247"/>
      <c r="B30" s="230">
        <v>22</v>
      </c>
      <c r="C30" s="30">
        <f ca="1" t="shared" si="0"/>
        <v>1.01</v>
      </c>
      <c r="D30" s="31" t="str">
        <f t="shared" si="1"/>
        <v>Freilos</v>
      </c>
      <c r="E30" s="31" t="s">
        <v>1088</v>
      </c>
      <c r="F30" s="29"/>
      <c r="G30" s="36"/>
      <c r="H30" s="36"/>
      <c r="I30" s="37"/>
      <c r="J30" s="249"/>
      <c r="K30" s="192">
        <v>22</v>
      </c>
      <c r="L30" s="195"/>
      <c r="M30" s="193">
        <f>IF(L30="","",IF(COUNTIF(SP64!$AP$3:$AP$129,L30)=1,"",L30&amp;"-"))</f>
      </c>
      <c r="U30" s="22">
        <f t="shared" si="2"/>
        <v>0</v>
      </c>
      <c r="V30" s="22">
        <f t="shared" si="3"/>
        <v>0</v>
      </c>
    </row>
    <row r="31" spans="1:22" s="22" customFormat="1" ht="12.75">
      <c r="A31" s="247"/>
      <c r="B31" s="230">
        <v>23</v>
      </c>
      <c r="C31" s="30">
        <f ca="1" t="shared" si="0"/>
        <v>1.01</v>
      </c>
      <c r="D31" s="31" t="str">
        <f t="shared" si="1"/>
        <v>Freilos</v>
      </c>
      <c r="E31" s="31" t="s">
        <v>1088</v>
      </c>
      <c r="F31" s="29"/>
      <c r="G31" s="36"/>
      <c r="H31" s="36"/>
      <c r="I31" s="37"/>
      <c r="J31" s="249"/>
      <c r="K31" s="192">
        <v>23</v>
      </c>
      <c r="L31" s="195"/>
      <c r="M31" s="193">
        <f>IF(L31="","",IF(COUNTIF(SP64!$AP$3:$AP$129,L31)=1,"",L31&amp;"-"))</f>
      </c>
      <c r="U31" s="22">
        <f t="shared" si="2"/>
        <v>0</v>
      </c>
      <c r="V31" s="22">
        <f t="shared" si="3"/>
        <v>0</v>
      </c>
    </row>
    <row r="32" spans="1:22" s="22" customFormat="1" ht="12.75">
      <c r="A32" s="247"/>
      <c r="B32" s="230">
        <v>24</v>
      </c>
      <c r="C32" s="30">
        <f ca="1" t="shared" si="0"/>
        <v>1.01</v>
      </c>
      <c r="D32" s="31" t="str">
        <f t="shared" si="1"/>
        <v>Freilos</v>
      </c>
      <c r="E32" s="31" t="s">
        <v>1088</v>
      </c>
      <c r="F32" s="29"/>
      <c r="G32" s="36"/>
      <c r="H32" s="36"/>
      <c r="I32" s="37"/>
      <c r="J32" s="249"/>
      <c r="K32" s="192">
        <v>24</v>
      </c>
      <c r="L32" s="195"/>
      <c r="M32" s="193">
        <f>IF(L32="","",IF(COUNTIF(SP64!$AP$3:$AP$129,L32)=1,"",L32&amp;"-"))</f>
      </c>
      <c r="U32" s="22">
        <f t="shared" si="2"/>
        <v>0</v>
      </c>
      <c r="V32" s="22">
        <f t="shared" si="3"/>
        <v>0</v>
      </c>
    </row>
    <row r="33" spans="1:22" s="22" customFormat="1" ht="12.75">
      <c r="A33" s="247"/>
      <c r="B33" s="230">
        <v>25</v>
      </c>
      <c r="C33" s="30">
        <f ca="1" t="shared" si="0"/>
        <v>1.01</v>
      </c>
      <c r="D33" s="31" t="str">
        <f t="shared" si="1"/>
        <v>Freilos</v>
      </c>
      <c r="E33" s="31" t="s">
        <v>1088</v>
      </c>
      <c r="F33" s="29"/>
      <c r="G33" s="36"/>
      <c r="H33" s="36"/>
      <c r="I33" s="37"/>
      <c r="J33" s="249"/>
      <c r="K33" s="192">
        <v>25</v>
      </c>
      <c r="L33" s="195"/>
      <c r="M33" s="193">
        <f>IF(L33="","",IF(COUNTIF(SP64!$AP$3:$AP$129,L33)=1,"",L33&amp;"-"))</f>
      </c>
      <c r="U33" s="22">
        <f t="shared" si="2"/>
        <v>0</v>
      </c>
      <c r="V33" s="22">
        <f t="shared" si="3"/>
        <v>0</v>
      </c>
    </row>
    <row r="34" spans="1:22" s="22" customFormat="1" ht="12.75">
      <c r="A34" s="247"/>
      <c r="B34" s="230">
        <v>26</v>
      </c>
      <c r="C34" s="30">
        <f ca="1" t="shared" si="0"/>
        <v>1.01</v>
      </c>
      <c r="D34" s="31" t="str">
        <f t="shared" si="1"/>
        <v>Freilos</v>
      </c>
      <c r="E34" s="31" t="s">
        <v>1088</v>
      </c>
      <c r="F34" s="29"/>
      <c r="G34" s="36"/>
      <c r="H34" s="236"/>
      <c r="I34" s="237"/>
      <c r="J34" s="249"/>
      <c r="K34" s="192">
        <v>26</v>
      </c>
      <c r="L34" s="195"/>
      <c r="M34" s="193">
        <f>IF(L34="","",IF(COUNTIF(SP64!$AP$3:$AP$129,L34)=1,"",L34&amp;"-"))</f>
      </c>
      <c r="U34" s="22">
        <f t="shared" si="2"/>
        <v>0</v>
      </c>
      <c r="V34" s="22">
        <f t="shared" si="3"/>
        <v>0</v>
      </c>
    </row>
    <row r="35" spans="1:22" s="22" customFormat="1" ht="12.75">
      <c r="A35" s="247"/>
      <c r="B35" s="230">
        <v>27</v>
      </c>
      <c r="C35" s="30">
        <f ca="1" t="shared" si="0"/>
        <v>1.01</v>
      </c>
      <c r="D35" s="31" t="str">
        <f t="shared" si="1"/>
        <v>Freilos</v>
      </c>
      <c r="E35" s="31" t="s">
        <v>1088</v>
      </c>
      <c r="F35" s="29"/>
      <c r="G35" s="36"/>
      <c r="H35" s="36"/>
      <c r="I35" s="37"/>
      <c r="J35" s="249"/>
      <c r="K35" s="192">
        <v>27</v>
      </c>
      <c r="L35" s="195"/>
      <c r="M35" s="193">
        <f>IF(L35="","",IF(COUNTIF(SP64!$AP$3:$AP$129,L35)=1,"",L35&amp;"-"))</f>
      </c>
      <c r="U35" s="22">
        <f t="shared" si="2"/>
        <v>0</v>
      </c>
      <c r="V35" s="22">
        <f t="shared" si="3"/>
        <v>0</v>
      </c>
    </row>
    <row r="36" spans="1:22" s="22" customFormat="1" ht="12.75">
      <c r="A36" s="247"/>
      <c r="B36" s="230">
        <v>28</v>
      </c>
      <c r="C36" s="30">
        <f ca="1" t="shared" si="0"/>
        <v>1.01</v>
      </c>
      <c r="D36" s="31" t="str">
        <f t="shared" si="1"/>
        <v>Freilos</v>
      </c>
      <c r="E36" s="31" t="s">
        <v>1088</v>
      </c>
      <c r="F36" s="29"/>
      <c r="G36" s="36"/>
      <c r="H36" s="36"/>
      <c r="I36" s="37"/>
      <c r="J36" s="249"/>
      <c r="K36" s="192">
        <v>28</v>
      </c>
      <c r="L36" s="195"/>
      <c r="M36" s="193">
        <f>IF(L36="","",IF(COUNTIF(SP64!$AP$3:$AP$129,L36)=1,"",L36&amp;"-"))</f>
      </c>
      <c r="U36" s="22">
        <f t="shared" si="2"/>
        <v>0</v>
      </c>
      <c r="V36" s="22">
        <f t="shared" si="3"/>
        <v>0</v>
      </c>
    </row>
    <row r="37" spans="1:22" s="22" customFormat="1" ht="12.75">
      <c r="A37" s="247"/>
      <c r="B37" s="230">
        <v>29</v>
      </c>
      <c r="C37" s="30">
        <f ca="1" t="shared" si="0"/>
        <v>1.01</v>
      </c>
      <c r="D37" s="31" t="str">
        <f t="shared" si="1"/>
        <v>Freilos</v>
      </c>
      <c r="E37" s="31" t="s">
        <v>1088</v>
      </c>
      <c r="F37" s="29"/>
      <c r="G37" s="36"/>
      <c r="H37" s="36"/>
      <c r="I37" s="37"/>
      <c r="J37" s="249"/>
      <c r="K37" s="192">
        <v>29</v>
      </c>
      <c r="L37" s="195"/>
      <c r="M37" s="193">
        <f>IF(L37="","",IF(COUNTIF(SP64!$AP$3:$AP$129,L37)=1,"",L37&amp;"-"))</f>
      </c>
      <c r="U37" s="22">
        <f t="shared" si="2"/>
        <v>0</v>
      </c>
      <c r="V37" s="22">
        <f t="shared" si="3"/>
        <v>0</v>
      </c>
    </row>
    <row r="38" spans="1:22" s="22" customFormat="1" ht="12.75">
      <c r="A38" s="247"/>
      <c r="B38" s="230">
        <v>30</v>
      </c>
      <c r="C38" s="30">
        <f ca="1" t="shared" si="0"/>
        <v>1.01</v>
      </c>
      <c r="D38" s="31" t="str">
        <f t="shared" si="1"/>
        <v>Freilos</v>
      </c>
      <c r="E38" s="31" t="s">
        <v>1088</v>
      </c>
      <c r="F38" s="29"/>
      <c r="G38" s="36"/>
      <c r="H38" s="36"/>
      <c r="I38" s="37"/>
      <c r="J38" s="249"/>
      <c r="K38" s="192">
        <v>30</v>
      </c>
      <c r="L38" s="195"/>
      <c r="M38" s="193">
        <f>IF(L38="","",IF(COUNTIF(SP64!$AP$3:$AP$129,L38)=1,"",L38&amp;"-"))</f>
      </c>
      <c r="U38" s="22">
        <f t="shared" si="2"/>
        <v>0</v>
      </c>
      <c r="V38" s="22">
        <f t="shared" si="3"/>
        <v>0</v>
      </c>
    </row>
    <row r="39" spans="1:22" s="22" customFormat="1" ht="12.75">
      <c r="A39" s="247"/>
      <c r="B39" s="230">
        <v>31</v>
      </c>
      <c r="C39" s="30">
        <f ca="1" t="shared" si="0"/>
        <v>1.01</v>
      </c>
      <c r="D39" s="31" t="str">
        <f t="shared" si="1"/>
        <v>Freilos</v>
      </c>
      <c r="E39" s="31" t="s">
        <v>1088</v>
      </c>
      <c r="F39" s="29"/>
      <c r="G39" s="36"/>
      <c r="H39" s="36"/>
      <c r="I39" s="37"/>
      <c r="J39" s="249"/>
      <c r="K39" s="192">
        <v>31</v>
      </c>
      <c r="L39" s="195"/>
      <c r="M39" s="193">
        <f>IF(L39="","",IF(COUNTIF(SP64!$AP$3:$AP$129,L39)=1,"",L39&amp;"-"))</f>
      </c>
      <c r="U39" s="22">
        <f t="shared" si="2"/>
        <v>0</v>
      </c>
      <c r="V39" s="22">
        <f t="shared" si="3"/>
        <v>0</v>
      </c>
    </row>
    <row r="40" spans="1:22" s="22" customFormat="1" ht="12.75">
      <c r="A40" s="247"/>
      <c r="B40" s="230">
        <v>32</v>
      </c>
      <c r="C40" s="30">
        <f ca="1" t="shared" si="0"/>
        <v>1.01</v>
      </c>
      <c r="D40" s="31" t="str">
        <f t="shared" si="1"/>
        <v>Freilos</v>
      </c>
      <c r="E40" s="31" t="s">
        <v>1088</v>
      </c>
      <c r="F40" s="29"/>
      <c r="G40" s="36"/>
      <c r="H40" s="36"/>
      <c r="I40" s="37"/>
      <c r="J40" s="249"/>
      <c r="K40" s="192">
        <v>32</v>
      </c>
      <c r="L40" s="195"/>
      <c r="M40" s="193">
        <f>IF(L40="","",IF(COUNTIF(SP64!$AP$3:$AP$129,L40)=1,"",L40&amp;"-"))</f>
      </c>
      <c r="U40" s="22">
        <f t="shared" si="2"/>
        <v>0</v>
      </c>
      <c r="V40" s="22">
        <f>IF(L40="",0,COUNTIF(L$9:L$40,L40))</f>
        <v>0</v>
      </c>
    </row>
    <row r="41" spans="1:21" s="22" customFormat="1" ht="12.75">
      <c r="A41" s="247"/>
      <c r="B41" s="230">
        <v>33</v>
      </c>
      <c r="C41" s="30">
        <f aca="true" ca="1" t="shared" si="4" ref="C41:C72">IF(OR(F41="",F41="Freilos"),1.01,RAND())</f>
        <v>1.01</v>
      </c>
      <c r="D41" s="31" t="str">
        <f aca="true" t="shared" si="5" ref="D41:D72">IF(C41&lt;=1,F41,"Freilos")</f>
        <v>Freilos</v>
      </c>
      <c r="E41" s="31" t="s">
        <v>1088</v>
      </c>
      <c r="F41" s="29"/>
      <c r="G41" s="36"/>
      <c r="H41" s="36"/>
      <c r="I41" s="37"/>
      <c r="J41" s="207"/>
      <c r="M41" s="193"/>
      <c r="U41" s="22">
        <f aca="true" t="shared" si="6" ref="U41:U72">IF(OR(F41="",F41="Freilos"),0,COUNTIF(F$9:F$72,F41))</f>
        <v>0</v>
      </c>
    </row>
    <row r="42" spans="1:21" s="22" customFormat="1" ht="12.75">
      <c r="A42" s="247"/>
      <c r="B42" s="230">
        <v>34</v>
      </c>
      <c r="C42" s="30">
        <f ca="1" t="shared" si="4"/>
        <v>1.01</v>
      </c>
      <c r="D42" s="31" t="str">
        <f t="shared" si="5"/>
        <v>Freilos</v>
      </c>
      <c r="E42" s="31" t="s">
        <v>1088</v>
      </c>
      <c r="F42" s="29"/>
      <c r="G42" s="36"/>
      <c r="H42" s="36"/>
      <c r="I42" s="37"/>
      <c r="M42" s="193"/>
      <c r="U42" s="22">
        <f t="shared" si="6"/>
        <v>0</v>
      </c>
    </row>
    <row r="43" spans="1:21" s="22" customFormat="1" ht="12.75">
      <c r="A43" s="247"/>
      <c r="B43" s="230">
        <v>35</v>
      </c>
      <c r="C43" s="30">
        <f ca="1" t="shared" si="4"/>
        <v>1.01</v>
      </c>
      <c r="D43" s="31" t="str">
        <f t="shared" si="5"/>
        <v>Freilos</v>
      </c>
      <c r="E43" s="31" t="s">
        <v>1088</v>
      </c>
      <c r="F43" s="29"/>
      <c r="G43" s="36"/>
      <c r="H43" s="36"/>
      <c r="I43" s="37"/>
      <c r="M43" s="193"/>
      <c r="U43" s="22">
        <f t="shared" si="6"/>
        <v>0</v>
      </c>
    </row>
    <row r="44" spans="1:21" s="22" customFormat="1" ht="12.75">
      <c r="A44" s="247"/>
      <c r="B44" s="230">
        <v>36</v>
      </c>
      <c r="C44" s="30">
        <f ca="1" t="shared" si="4"/>
        <v>1.01</v>
      </c>
      <c r="D44" s="31" t="str">
        <f t="shared" si="5"/>
        <v>Freilos</v>
      </c>
      <c r="E44" s="31" t="s">
        <v>1088</v>
      </c>
      <c r="F44" s="29"/>
      <c r="G44" s="36"/>
      <c r="H44" s="36"/>
      <c r="I44" s="37"/>
      <c r="M44" s="193"/>
      <c r="U44" s="22">
        <f t="shared" si="6"/>
        <v>0</v>
      </c>
    </row>
    <row r="45" spans="1:21" s="22" customFormat="1" ht="12.75">
      <c r="A45" s="247"/>
      <c r="B45" s="230">
        <v>37</v>
      </c>
      <c r="C45" s="30">
        <f ca="1" t="shared" si="4"/>
        <v>1.01</v>
      </c>
      <c r="D45" s="31" t="str">
        <f t="shared" si="5"/>
        <v>Freilos</v>
      </c>
      <c r="E45" s="31" t="s">
        <v>1088</v>
      </c>
      <c r="F45" s="29"/>
      <c r="G45" s="36"/>
      <c r="H45" s="36"/>
      <c r="I45" s="37"/>
      <c r="M45" s="193"/>
      <c r="U45" s="22">
        <f t="shared" si="6"/>
        <v>0</v>
      </c>
    </row>
    <row r="46" spans="1:21" s="22" customFormat="1" ht="12.75">
      <c r="A46" s="247"/>
      <c r="B46" s="230">
        <v>38</v>
      </c>
      <c r="C46" s="30">
        <f ca="1" t="shared" si="4"/>
        <v>1.01</v>
      </c>
      <c r="D46" s="31" t="str">
        <f t="shared" si="5"/>
        <v>Freilos</v>
      </c>
      <c r="E46" s="31" t="s">
        <v>1088</v>
      </c>
      <c r="F46" s="29"/>
      <c r="G46" s="36"/>
      <c r="H46" s="36"/>
      <c r="I46" s="37"/>
      <c r="M46" s="193"/>
      <c r="U46" s="22">
        <f t="shared" si="6"/>
        <v>0</v>
      </c>
    </row>
    <row r="47" spans="1:21" s="22" customFormat="1" ht="12.75">
      <c r="A47" s="247"/>
      <c r="B47" s="230">
        <v>39</v>
      </c>
      <c r="C47" s="30">
        <f ca="1" t="shared" si="4"/>
        <v>1.01</v>
      </c>
      <c r="D47" s="31" t="str">
        <f t="shared" si="5"/>
        <v>Freilos</v>
      </c>
      <c r="E47" s="31" t="s">
        <v>1088</v>
      </c>
      <c r="F47" s="29"/>
      <c r="G47" s="36"/>
      <c r="H47" s="36"/>
      <c r="I47" s="37"/>
      <c r="M47" s="193"/>
      <c r="U47" s="22">
        <f t="shared" si="6"/>
        <v>0</v>
      </c>
    </row>
    <row r="48" spans="1:21" s="22" customFormat="1" ht="12.75">
      <c r="A48" s="247"/>
      <c r="B48" s="230">
        <v>40</v>
      </c>
      <c r="C48" s="30">
        <f ca="1" t="shared" si="4"/>
        <v>1.01</v>
      </c>
      <c r="D48" s="31" t="str">
        <f t="shared" si="5"/>
        <v>Freilos</v>
      </c>
      <c r="E48" s="31" t="s">
        <v>1088</v>
      </c>
      <c r="F48" s="29"/>
      <c r="G48" s="36"/>
      <c r="H48" s="36"/>
      <c r="I48" s="37"/>
      <c r="M48" s="193"/>
      <c r="U48" s="22">
        <f t="shared" si="6"/>
        <v>0</v>
      </c>
    </row>
    <row r="49" spans="1:21" s="22" customFormat="1" ht="12.75">
      <c r="A49" s="247"/>
      <c r="B49" s="230">
        <v>41</v>
      </c>
      <c r="C49" s="30">
        <f ca="1" t="shared" si="4"/>
        <v>1.01</v>
      </c>
      <c r="D49" s="31" t="str">
        <f t="shared" si="5"/>
        <v>Freilos</v>
      </c>
      <c r="E49" s="31" t="s">
        <v>1088</v>
      </c>
      <c r="F49" s="29"/>
      <c r="G49" s="36"/>
      <c r="H49" s="36"/>
      <c r="I49" s="37"/>
      <c r="M49" s="193"/>
      <c r="U49" s="22">
        <f t="shared" si="6"/>
        <v>0</v>
      </c>
    </row>
    <row r="50" spans="1:21" s="22" customFormat="1" ht="12.75">
      <c r="A50" s="247"/>
      <c r="B50" s="230">
        <v>42</v>
      </c>
      <c r="C50" s="30">
        <f ca="1" t="shared" si="4"/>
        <v>1.01</v>
      </c>
      <c r="D50" s="31" t="str">
        <f t="shared" si="5"/>
        <v>Freilos</v>
      </c>
      <c r="E50" s="31" t="s">
        <v>1088</v>
      </c>
      <c r="F50" s="29"/>
      <c r="G50" s="36"/>
      <c r="H50" s="36"/>
      <c r="I50" s="37"/>
      <c r="M50" s="193"/>
      <c r="U50" s="22">
        <f t="shared" si="6"/>
        <v>0</v>
      </c>
    </row>
    <row r="51" spans="1:21" s="22" customFormat="1" ht="12.75">
      <c r="A51" s="247"/>
      <c r="B51" s="230">
        <v>43</v>
      </c>
      <c r="C51" s="30">
        <f ca="1" t="shared" si="4"/>
        <v>1.01</v>
      </c>
      <c r="D51" s="31" t="str">
        <f t="shared" si="5"/>
        <v>Freilos</v>
      </c>
      <c r="E51" s="31" t="s">
        <v>1088</v>
      </c>
      <c r="F51" s="29"/>
      <c r="G51" s="36"/>
      <c r="H51" s="36"/>
      <c r="I51" s="37"/>
      <c r="M51" s="193"/>
      <c r="U51" s="22">
        <f t="shared" si="6"/>
        <v>0</v>
      </c>
    </row>
    <row r="52" spans="1:21" s="22" customFormat="1" ht="12.75">
      <c r="A52" s="247"/>
      <c r="B52" s="230">
        <v>44</v>
      </c>
      <c r="C52" s="30">
        <f ca="1" t="shared" si="4"/>
        <v>1.01</v>
      </c>
      <c r="D52" s="31" t="str">
        <f t="shared" si="5"/>
        <v>Freilos</v>
      </c>
      <c r="E52" s="31" t="s">
        <v>1088</v>
      </c>
      <c r="F52" s="29"/>
      <c r="G52" s="36"/>
      <c r="H52" s="36"/>
      <c r="I52" s="37"/>
      <c r="M52" s="193"/>
      <c r="U52" s="22">
        <f t="shared" si="6"/>
        <v>0</v>
      </c>
    </row>
    <row r="53" spans="1:21" s="22" customFormat="1" ht="12.75">
      <c r="A53" s="247"/>
      <c r="B53" s="230">
        <v>45</v>
      </c>
      <c r="C53" s="30">
        <f ca="1" t="shared" si="4"/>
        <v>1.01</v>
      </c>
      <c r="D53" s="31" t="str">
        <f t="shared" si="5"/>
        <v>Freilos</v>
      </c>
      <c r="E53" s="31" t="s">
        <v>1088</v>
      </c>
      <c r="F53" s="29"/>
      <c r="G53" s="36"/>
      <c r="H53" s="36"/>
      <c r="I53" s="37"/>
      <c r="M53" s="193"/>
      <c r="U53" s="22">
        <f t="shared" si="6"/>
        <v>0</v>
      </c>
    </row>
    <row r="54" spans="1:21" s="22" customFormat="1" ht="12.75">
      <c r="A54" s="247"/>
      <c r="B54" s="230">
        <v>46</v>
      </c>
      <c r="C54" s="30">
        <f ca="1" t="shared" si="4"/>
        <v>1.01</v>
      </c>
      <c r="D54" s="31" t="str">
        <f t="shared" si="5"/>
        <v>Freilos</v>
      </c>
      <c r="E54" s="31" t="s">
        <v>1088</v>
      </c>
      <c r="F54" s="29"/>
      <c r="G54" s="36"/>
      <c r="H54" s="36"/>
      <c r="I54" s="37"/>
      <c r="M54" s="193"/>
      <c r="U54" s="22">
        <f t="shared" si="6"/>
        <v>0</v>
      </c>
    </row>
    <row r="55" spans="1:21" s="22" customFormat="1" ht="12.75">
      <c r="A55" s="247"/>
      <c r="B55" s="230">
        <v>47</v>
      </c>
      <c r="C55" s="30">
        <f ca="1" t="shared" si="4"/>
        <v>1.01</v>
      </c>
      <c r="D55" s="31" t="str">
        <f t="shared" si="5"/>
        <v>Freilos</v>
      </c>
      <c r="E55" s="31" t="s">
        <v>1088</v>
      </c>
      <c r="F55" s="29"/>
      <c r="G55" s="36"/>
      <c r="H55" s="36"/>
      <c r="I55" s="37"/>
      <c r="M55" s="193"/>
      <c r="U55" s="22">
        <f t="shared" si="6"/>
        <v>0</v>
      </c>
    </row>
    <row r="56" spans="1:21" s="22" customFormat="1" ht="12.75">
      <c r="A56" s="247"/>
      <c r="B56" s="230">
        <v>48</v>
      </c>
      <c r="C56" s="30">
        <f ca="1" t="shared" si="4"/>
        <v>1.01</v>
      </c>
      <c r="D56" s="31" t="str">
        <f t="shared" si="5"/>
        <v>Freilos</v>
      </c>
      <c r="E56" s="31" t="s">
        <v>1088</v>
      </c>
      <c r="F56" s="29"/>
      <c r="G56" s="36"/>
      <c r="H56" s="36"/>
      <c r="I56" s="37"/>
      <c r="M56" s="193"/>
      <c r="U56" s="22">
        <f t="shared" si="6"/>
        <v>0</v>
      </c>
    </row>
    <row r="57" spans="1:21" s="22" customFormat="1" ht="12.75">
      <c r="A57" s="247"/>
      <c r="B57" s="230">
        <v>49</v>
      </c>
      <c r="C57" s="30">
        <f ca="1" t="shared" si="4"/>
        <v>1.01</v>
      </c>
      <c r="D57" s="31" t="str">
        <f t="shared" si="5"/>
        <v>Freilos</v>
      </c>
      <c r="E57" s="31" t="s">
        <v>1088</v>
      </c>
      <c r="F57" s="29"/>
      <c r="G57" s="36"/>
      <c r="H57" s="36"/>
      <c r="I57" s="37"/>
      <c r="M57" s="193"/>
      <c r="U57" s="22">
        <f t="shared" si="6"/>
        <v>0</v>
      </c>
    </row>
    <row r="58" spans="1:21" s="22" customFormat="1" ht="12.75">
      <c r="A58" s="247"/>
      <c r="B58" s="230">
        <v>50</v>
      </c>
      <c r="C58" s="30">
        <f ca="1" t="shared" si="4"/>
        <v>1.01</v>
      </c>
      <c r="D58" s="31" t="str">
        <f t="shared" si="5"/>
        <v>Freilos</v>
      </c>
      <c r="E58" s="31" t="s">
        <v>1088</v>
      </c>
      <c r="F58" s="29"/>
      <c r="G58" s="36"/>
      <c r="H58" s="36"/>
      <c r="I58" s="37"/>
      <c r="M58" s="193"/>
      <c r="U58" s="22">
        <f t="shared" si="6"/>
        <v>0</v>
      </c>
    </row>
    <row r="59" spans="1:21" s="22" customFormat="1" ht="12.75">
      <c r="A59" s="247"/>
      <c r="B59" s="230">
        <v>51</v>
      </c>
      <c r="C59" s="30">
        <f ca="1" t="shared" si="4"/>
        <v>1.01</v>
      </c>
      <c r="D59" s="31" t="str">
        <f t="shared" si="5"/>
        <v>Freilos</v>
      </c>
      <c r="E59" s="31" t="s">
        <v>1088</v>
      </c>
      <c r="F59" s="29"/>
      <c r="G59" s="36"/>
      <c r="H59" s="36"/>
      <c r="I59" s="37"/>
      <c r="M59" s="193"/>
      <c r="U59" s="22">
        <f t="shared" si="6"/>
        <v>0</v>
      </c>
    </row>
    <row r="60" spans="1:21" s="22" customFormat="1" ht="12.75">
      <c r="A60" s="247"/>
      <c r="B60" s="230">
        <v>52</v>
      </c>
      <c r="C60" s="30">
        <f ca="1" t="shared" si="4"/>
        <v>1.01</v>
      </c>
      <c r="D60" s="31" t="str">
        <f t="shared" si="5"/>
        <v>Freilos</v>
      </c>
      <c r="E60" s="31" t="s">
        <v>1088</v>
      </c>
      <c r="F60" s="29"/>
      <c r="G60" s="36"/>
      <c r="H60" s="36"/>
      <c r="I60" s="37"/>
      <c r="M60" s="193"/>
      <c r="U60" s="22">
        <f t="shared" si="6"/>
        <v>0</v>
      </c>
    </row>
    <row r="61" spans="1:21" s="22" customFormat="1" ht="12.75">
      <c r="A61" s="247"/>
      <c r="B61" s="230">
        <v>53</v>
      </c>
      <c r="C61" s="30">
        <f ca="1" t="shared" si="4"/>
        <v>1.01</v>
      </c>
      <c r="D61" s="31" t="str">
        <f t="shared" si="5"/>
        <v>Freilos</v>
      </c>
      <c r="E61" s="31" t="s">
        <v>1088</v>
      </c>
      <c r="F61" s="29"/>
      <c r="G61" s="36"/>
      <c r="H61" s="36"/>
      <c r="I61" s="37"/>
      <c r="M61" s="193"/>
      <c r="U61" s="22">
        <f t="shared" si="6"/>
        <v>0</v>
      </c>
    </row>
    <row r="62" spans="1:21" s="22" customFormat="1" ht="12.75">
      <c r="A62" s="247"/>
      <c r="B62" s="230">
        <v>54</v>
      </c>
      <c r="C62" s="30">
        <f ca="1" t="shared" si="4"/>
        <v>1.01</v>
      </c>
      <c r="D62" s="31" t="str">
        <f t="shared" si="5"/>
        <v>Freilos</v>
      </c>
      <c r="E62" s="31" t="s">
        <v>1088</v>
      </c>
      <c r="F62" s="29"/>
      <c r="G62" s="36"/>
      <c r="H62" s="36"/>
      <c r="I62" s="37"/>
      <c r="M62" s="193"/>
      <c r="U62" s="22">
        <f t="shared" si="6"/>
        <v>0</v>
      </c>
    </row>
    <row r="63" spans="1:21" s="22" customFormat="1" ht="12.75">
      <c r="A63" s="247"/>
      <c r="B63" s="230">
        <v>55</v>
      </c>
      <c r="C63" s="30">
        <f ca="1" t="shared" si="4"/>
        <v>1.01</v>
      </c>
      <c r="D63" s="31" t="str">
        <f t="shared" si="5"/>
        <v>Freilos</v>
      </c>
      <c r="E63" s="31" t="s">
        <v>1088</v>
      </c>
      <c r="F63" s="29"/>
      <c r="G63" s="36"/>
      <c r="H63" s="36"/>
      <c r="I63" s="37"/>
      <c r="M63" s="193"/>
      <c r="U63" s="22">
        <f t="shared" si="6"/>
        <v>0</v>
      </c>
    </row>
    <row r="64" spans="1:21" s="22" customFormat="1" ht="12.75">
      <c r="A64" s="247"/>
      <c r="B64" s="230">
        <v>56</v>
      </c>
      <c r="C64" s="30">
        <f ca="1" t="shared" si="4"/>
        <v>1.01</v>
      </c>
      <c r="D64" s="31" t="str">
        <f t="shared" si="5"/>
        <v>Freilos</v>
      </c>
      <c r="E64" s="31" t="s">
        <v>1088</v>
      </c>
      <c r="F64" s="234"/>
      <c r="G64" s="36"/>
      <c r="H64" s="36"/>
      <c r="I64" s="37"/>
      <c r="M64" s="193"/>
      <c r="U64" s="22">
        <f t="shared" si="6"/>
        <v>0</v>
      </c>
    </row>
    <row r="65" spans="1:21" s="22" customFormat="1" ht="12.75">
      <c r="A65" s="247"/>
      <c r="B65" s="230">
        <v>57</v>
      </c>
      <c r="C65" s="30">
        <f ca="1" t="shared" si="4"/>
        <v>1.01</v>
      </c>
      <c r="D65" s="31" t="str">
        <f t="shared" si="5"/>
        <v>Freilos</v>
      </c>
      <c r="E65" s="31" t="s">
        <v>1088</v>
      </c>
      <c r="F65" s="234"/>
      <c r="G65" s="36"/>
      <c r="H65" s="36"/>
      <c r="I65" s="37"/>
      <c r="M65" s="193"/>
      <c r="U65" s="22">
        <f t="shared" si="6"/>
        <v>0</v>
      </c>
    </row>
    <row r="66" spans="1:21" s="22" customFormat="1" ht="12.75">
      <c r="A66" s="247"/>
      <c r="B66" s="230">
        <v>58</v>
      </c>
      <c r="C66" s="30">
        <f ca="1" t="shared" si="4"/>
        <v>1.01</v>
      </c>
      <c r="D66" s="31" t="str">
        <f t="shared" si="5"/>
        <v>Freilos</v>
      </c>
      <c r="E66" s="31" t="s">
        <v>1088</v>
      </c>
      <c r="F66" s="234"/>
      <c r="G66" s="36"/>
      <c r="H66" s="36"/>
      <c r="I66" s="37"/>
      <c r="M66" s="193"/>
      <c r="U66" s="22">
        <f t="shared" si="6"/>
        <v>0</v>
      </c>
    </row>
    <row r="67" spans="1:21" s="22" customFormat="1" ht="12.75">
      <c r="A67" s="247"/>
      <c r="B67" s="230">
        <v>59</v>
      </c>
      <c r="C67" s="30">
        <f ca="1" t="shared" si="4"/>
        <v>1.01</v>
      </c>
      <c r="D67" s="31" t="str">
        <f t="shared" si="5"/>
        <v>Freilos</v>
      </c>
      <c r="E67" s="31" t="s">
        <v>1088</v>
      </c>
      <c r="F67" s="234"/>
      <c r="G67" s="36"/>
      <c r="H67" s="36"/>
      <c r="I67" s="37"/>
      <c r="M67" s="193"/>
      <c r="U67" s="22">
        <f t="shared" si="6"/>
        <v>0</v>
      </c>
    </row>
    <row r="68" spans="1:21" s="22" customFormat="1" ht="12.75">
      <c r="A68" s="247"/>
      <c r="B68" s="230">
        <v>60</v>
      </c>
      <c r="C68" s="30">
        <f ca="1" t="shared" si="4"/>
        <v>1.01</v>
      </c>
      <c r="D68" s="31" t="str">
        <f t="shared" si="5"/>
        <v>Freilos</v>
      </c>
      <c r="E68" s="31" t="s">
        <v>1088</v>
      </c>
      <c r="F68" s="234"/>
      <c r="G68" s="36"/>
      <c r="H68" s="36"/>
      <c r="I68" s="37"/>
      <c r="M68" s="193"/>
      <c r="U68" s="22">
        <f t="shared" si="6"/>
        <v>0</v>
      </c>
    </row>
    <row r="69" spans="1:21" s="22" customFormat="1" ht="12.75">
      <c r="A69" s="247"/>
      <c r="B69" s="230">
        <v>61</v>
      </c>
      <c r="C69" s="30">
        <f ca="1" t="shared" si="4"/>
        <v>1.01</v>
      </c>
      <c r="D69" s="31" t="str">
        <f t="shared" si="5"/>
        <v>Freilos</v>
      </c>
      <c r="E69" s="31" t="s">
        <v>1088</v>
      </c>
      <c r="F69" s="234"/>
      <c r="G69" s="36"/>
      <c r="H69" s="36"/>
      <c r="I69" s="37"/>
      <c r="M69" s="193"/>
      <c r="U69" s="22">
        <f t="shared" si="6"/>
        <v>0</v>
      </c>
    </row>
    <row r="70" spans="1:21" s="22" customFormat="1" ht="12.75">
      <c r="A70" s="247"/>
      <c r="B70" s="230">
        <v>62</v>
      </c>
      <c r="C70" s="30">
        <f ca="1" t="shared" si="4"/>
        <v>1.01</v>
      </c>
      <c r="D70" s="31" t="str">
        <f t="shared" si="5"/>
        <v>Freilos</v>
      </c>
      <c r="E70" s="31" t="s">
        <v>1088</v>
      </c>
      <c r="F70" s="234"/>
      <c r="G70" s="36"/>
      <c r="H70" s="36"/>
      <c r="I70" s="37"/>
      <c r="M70" s="193"/>
      <c r="U70" s="22">
        <f t="shared" si="6"/>
        <v>0</v>
      </c>
    </row>
    <row r="71" spans="1:21" s="22" customFormat="1" ht="12.75">
      <c r="A71" s="247"/>
      <c r="B71" s="230">
        <v>63</v>
      </c>
      <c r="C71" s="30">
        <f ca="1" t="shared" si="4"/>
        <v>1.01</v>
      </c>
      <c r="D71" s="31" t="str">
        <f t="shared" si="5"/>
        <v>Freilos</v>
      </c>
      <c r="E71" s="31" t="s">
        <v>1088</v>
      </c>
      <c r="F71" s="234"/>
      <c r="G71" s="36"/>
      <c r="H71" s="36"/>
      <c r="I71" s="37"/>
      <c r="M71" s="193"/>
      <c r="U71" s="22">
        <f t="shared" si="6"/>
        <v>0</v>
      </c>
    </row>
    <row r="72" spans="1:21" s="22" customFormat="1" ht="13.5" thickBot="1">
      <c r="A72" s="247"/>
      <c r="B72" s="231">
        <v>64</v>
      </c>
      <c r="C72" s="32">
        <f ca="1" t="shared" si="4"/>
        <v>1.01</v>
      </c>
      <c r="D72" s="33" t="str">
        <f t="shared" si="5"/>
        <v>Freilos</v>
      </c>
      <c r="E72" s="33" t="s">
        <v>1088</v>
      </c>
      <c r="F72" s="234"/>
      <c r="G72" s="232"/>
      <c r="H72" s="232"/>
      <c r="I72" s="233"/>
      <c r="M72" s="193"/>
      <c r="U72" s="22">
        <f t="shared" si="6"/>
        <v>0</v>
      </c>
    </row>
    <row r="73" spans="2:13" s="22" customFormat="1" ht="12.75">
      <c r="B73" s="193"/>
      <c r="M73" s="193"/>
    </row>
    <row r="74" spans="2:13" s="22" customFormat="1" ht="12.75">
      <c r="B74" s="193"/>
      <c r="M74" s="193"/>
    </row>
    <row r="75" spans="2:13" s="22" customFormat="1" ht="13.5" thickBot="1">
      <c r="B75" s="193"/>
      <c r="M75" s="193"/>
    </row>
    <row r="76" spans="6:8" ht="12.75">
      <c r="F76" s="49" t="s">
        <v>1075</v>
      </c>
      <c r="G76" s="50"/>
      <c r="H76" s="22" t="s">
        <v>1076</v>
      </c>
    </row>
    <row r="77" spans="6:8" ht="12.75">
      <c r="F77" s="51" t="s">
        <v>1077</v>
      </c>
      <c r="G77" s="23"/>
      <c r="H77" s="22"/>
    </row>
    <row r="78" spans="6:8" ht="12.75">
      <c r="F78" s="51" t="s">
        <v>1078</v>
      </c>
      <c r="G78" s="227"/>
      <c r="H78" s="22"/>
    </row>
    <row r="79" spans="6:8" ht="12.75">
      <c r="F79" s="51" t="s">
        <v>1079</v>
      </c>
      <c r="G79" s="23"/>
      <c r="H79" s="22"/>
    </row>
    <row r="80" spans="6:8" ht="13.5" thickBot="1">
      <c r="F80" s="52" t="s">
        <v>1121</v>
      </c>
      <c r="G80" s="53"/>
      <c r="H80" s="22"/>
    </row>
  </sheetData>
  <sheetProtection/>
  <mergeCells count="2">
    <mergeCell ref="A8:A72"/>
    <mergeCell ref="J8:J40"/>
  </mergeCells>
  <conditionalFormatting sqref="J8:J40">
    <cfRule type="expression" priority="1" dxfId="382" stopIfTrue="1">
      <formula>$V$8&gt;1</formula>
    </cfRule>
  </conditionalFormatting>
  <conditionalFormatting sqref="A8:A72">
    <cfRule type="expression" priority="2" dxfId="382" stopIfTrue="1">
      <formula>$U$8&gt;1</formula>
    </cfRule>
  </conditionalFormatting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B1:AW134"/>
  <sheetViews>
    <sheetView showGridLines="0" showOutlineSymbols="0" zoomScalePageLayoutView="0" workbookViewId="0" topLeftCell="A1">
      <pane ySplit="2" topLeftCell="A3" activePane="bottomLeft" state="frozen"/>
      <selection pane="topLeft" activeCell="A1" sqref="A1"/>
      <selection pane="bottomLeft" activeCell="F3" sqref="F3"/>
    </sheetView>
  </sheetViews>
  <sheetFormatPr defaultColWidth="11.421875" defaultRowHeight="12.75"/>
  <cols>
    <col min="1" max="1" width="4.00390625" style="64" customWidth="1"/>
    <col min="2" max="2" width="5.00390625" style="64" customWidth="1"/>
    <col min="3" max="3" width="3.140625" style="65" bestFit="1" customWidth="1"/>
    <col min="4" max="5" width="17.7109375" style="64" bestFit="1" customWidth="1"/>
    <col min="6" max="7" width="3.7109375" style="65" customWidth="1"/>
    <col min="8" max="11" width="3.7109375" style="65" hidden="1" customWidth="1"/>
    <col min="12" max="12" width="3.7109375" style="65" customWidth="1"/>
    <col min="13" max="13" width="28.00390625" style="135" customWidth="1"/>
    <col min="14" max="15" width="4.421875" style="64" hidden="1" customWidth="1"/>
    <col min="16" max="17" width="4.28125" style="64" hidden="1" customWidth="1"/>
    <col min="18" max="19" width="4.421875" style="64" hidden="1" customWidth="1"/>
    <col min="20" max="21" width="3.28125" style="64" hidden="1" customWidth="1"/>
    <col min="22" max="22" width="6.140625" style="64" hidden="1" customWidth="1"/>
    <col min="23" max="23" width="15.28125" style="64" hidden="1" customWidth="1"/>
    <col min="24" max="24" width="3.8515625" style="64" hidden="1" customWidth="1"/>
    <col min="25" max="25" width="2.28125" style="64" hidden="1" customWidth="1"/>
    <col min="26" max="26" width="3.7109375" style="64" hidden="1" customWidth="1"/>
    <col min="27" max="27" width="3.57421875" style="64" hidden="1" customWidth="1"/>
    <col min="28" max="28" width="4.28125" style="64" hidden="1" customWidth="1"/>
    <col min="29" max="29" width="4.7109375" style="64" hidden="1" customWidth="1"/>
    <col min="30" max="30" width="4.57421875" style="64" hidden="1" customWidth="1"/>
    <col min="31" max="34" width="5.57421875" style="64" hidden="1" customWidth="1"/>
    <col min="35" max="35" width="3.57421875" style="64" hidden="1" customWidth="1"/>
    <col min="36" max="36" width="2.421875" style="64" hidden="1" customWidth="1"/>
    <col min="37" max="38" width="2.57421875" style="64" hidden="1" customWidth="1"/>
    <col min="39" max="41" width="3.00390625" style="64" customWidth="1"/>
    <col min="42" max="43" width="3.00390625" style="64" hidden="1" customWidth="1"/>
    <col min="44" max="44" width="4.8515625" style="64" hidden="1" customWidth="1"/>
    <col min="45" max="47" width="11.421875" style="64" customWidth="1"/>
    <col min="48" max="48" width="3.28125" style="64" hidden="1" customWidth="1"/>
    <col min="49" max="49" width="6.00390625" style="64" hidden="1" customWidth="1"/>
    <col min="50" max="16384" width="11.421875" style="64" customWidth="1"/>
  </cols>
  <sheetData>
    <row r="1" ht="10.5" thickBot="1">
      <c r="M1" s="196" t="str">
        <f>"FT:"&amp;" -"&amp;Auslosung_Turnierdaten!M9&amp;Auslosung_Turnierdaten!M10&amp;Auslosung_Turnierdaten!M11&amp;Auslosung_Turnierdaten!M12&amp;Auslosung_Turnierdaten!M13&amp;Auslosung_Turnierdaten!M14&amp;Auslosung_Turnierdaten!M15&amp;Auslosung_Turnierdaten!M16&amp;Auslosung_Turnierdaten!M17&amp;Auslosung_Turnierdaten!M18&amp;Auslosung_Turnierdaten!M19&amp;Auslosung_Turnierdaten!M20&amp;Auslosung_Turnierdaten!M21&amp;Auslosung_Turnierdaten!M22&amp;Auslosung_Turnierdaten!M23&amp;Auslosung_Turnierdaten!M24&amp;Auslosung_Turnierdaten!M25&amp;Auslosung_Turnierdaten!M26</f>
        <v>FT: -</v>
      </c>
    </row>
    <row r="2" spans="3:49" ht="11.25" thickBot="1">
      <c r="C2" s="66"/>
      <c r="D2" s="67" t="s">
        <v>1033</v>
      </c>
      <c r="E2" s="68" t="s">
        <v>1034</v>
      </c>
      <c r="F2" s="169" t="s">
        <v>1035</v>
      </c>
      <c r="G2" s="170" t="s">
        <v>1036</v>
      </c>
      <c r="H2" s="171" t="s">
        <v>1037</v>
      </c>
      <c r="I2" s="171" t="s">
        <v>1038</v>
      </c>
      <c r="J2" s="171" t="s">
        <v>1039</v>
      </c>
      <c r="K2" s="172" t="s">
        <v>1040</v>
      </c>
      <c r="L2" s="174" t="s">
        <v>1073</v>
      </c>
      <c r="M2" s="197" t="str">
        <f>"-"&amp;Auslosung_Turnierdaten!M27&amp;Auslosung_Turnierdaten!M28&amp;Auslosung_Turnierdaten!M29&amp;Auslosung_Turnierdaten!M30&amp;Auslosung_Turnierdaten!M31&amp;Auslosung_Turnierdaten!M32&amp;Auslosung_Turnierdaten!M33&amp;Auslosung_Turnierdaten!M34&amp;Auslosung_Turnierdaten!M35&amp;Auslosung_Turnierdaten!M36&amp;Auslosung_Turnierdaten!M37&amp;Auslosung_Turnierdaten!M38&amp;Auslosung_Turnierdaten!M39&amp;Auslosung_Turnierdaten!M40</f>
        <v>-</v>
      </c>
      <c r="N2" s="64" t="s">
        <v>1041</v>
      </c>
      <c r="O2" s="64" t="s">
        <v>1041</v>
      </c>
      <c r="P2" s="64" t="s">
        <v>1042</v>
      </c>
      <c r="Q2" s="64" t="s">
        <v>1043</v>
      </c>
      <c r="R2" s="64" t="s">
        <v>1044</v>
      </c>
      <c r="S2" s="64" t="s">
        <v>1045</v>
      </c>
      <c r="T2" s="64" t="s">
        <v>1046</v>
      </c>
      <c r="U2" s="64" t="s">
        <v>1047</v>
      </c>
      <c r="V2" s="64" t="s">
        <v>1048</v>
      </c>
      <c r="W2" s="64" t="s">
        <v>1049</v>
      </c>
      <c r="X2" s="64" t="s">
        <v>1050</v>
      </c>
      <c r="Y2" s="64" t="s">
        <v>1051</v>
      </c>
      <c r="Z2" s="64" t="s">
        <v>1031</v>
      </c>
      <c r="AA2" s="64" t="s">
        <v>1032</v>
      </c>
      <c r="AB2" s="64" t="s">
        <v>1052</v>
      </c>
      <c r="AC2" s="64" t="s">
        <v>1053</v>
      </c>
      <c r="AD2" s="64" t="s">
        <v>1054</v>
      </c>
      <c r="AE2" s="64" t="s">
        <v>1055</v>
      </c>
      <c r="AF2" s="64" t="s">
        <v>1056</v>
      </c>
      <c r="AG2" s="64" t="s">
        <v>1057</v>
      </c>
      <c r="AH2" s="64" t="s">
        <v>1058</v>
      </c>
      <c r="AI2" s="64" t="s">
        <v>1059</v>
      </c>
      <c r="AJ2" s="64" t="s">
        <v>395</v>
      </c>
      <c r="AM2" s="175"/>
      <c r="AN2" s="176"/>
      <c r="AO2" s="177"/>
      <c r="AS2" s="201" t="s">
        <v>405</v>
      </c>
      <c r="AT2" s="201" t="s">
        <v>404</v>
      </c>
      <c r="AU2" s="201" t="s">
        <v>406</v>
      </c>
      <c r="AW2" s="64">
        <f>MAX(AW3:AW34)</f>
        <v>0</v>
      </c>
    </row>
    <row r="3" spans="2:49" ht="11.25" thickBot="1">
      <c r="B3" s="69" t="s">
        <v>1061</v>
      </c>
      <c r="C3" s="70">
        <v>1</v>
      </c>
      <c r="D3" s="71" t="str">
        <f>IF(W3="Freilos","Freilos",IF(W3="","Spieler 1",W3))</f>
        <v>Spieler 1</v>
      </c>
      <c r="E3" s="72" t="str">
        <f>IF(W35="Freilos","Freilos",IF(W35="","Spieler 33",W35))</f>
        <v>Spieler 33</v>
      </c>
      <c r="F3" s="73"/>
      <c r="G3" s="74"/>
      <c r="H3" s="74"/>
      <c r="I3" s="74"/>
      <c r="J3" s="74"/>
      <c r="K3" s="75"/>
      <c r="L3" s="76"/>
      <c r="N3" s="64">
        <f aca="true" t="shared" si="0" ref="N3:N66">F3+G3</f>
        <v>0</v>
      </c>
      <c r="O3" s="64">
        <f aca="true" t="shared" si="1" ref="O3:O66">N3</f>
        <v>0</v>
      </c>
      <c r="P3" s="64">
        <f>IF(D3="Freilos",0,IF(F3&lt;G3,1,IF(F3&gt;G3,1,0)))</f>
        <v>0</v>
      </c>
      <c r="Q3" s="64">
        <f>IF(D3="Freilos",0,IF(F3&lt;G3,1,IF(F3&gt;G3,1,0)))</f>
        <v>0</v>
      </c>
      <c r="R3" s="64">
        <f>IF(D3="Freilos",0,IF(F3&gt;G3,1,0))</f>
        <v>0</v>
      </c>
      <c r="S3" s="64">
        <f>IF(D3="Freilos",0,IF(G3&gt;F3,1,0))</f>
        <v>0</v>
      </c>
      <c r="T3" s="178">
        <f aca="true" t="shared" si="2" ref="T3:T50">IF(E3="Freilos",3,IF(F3&gt;G3,3,0))</f>
        <v>0</v>
      </c>
      <c r="U3" s="178">
        <f>IF(D3="Freilos",3,IF(G3&gt;F3,3,0))</f>
        <v>0</v>
      </c>
      <c r="V3" s="64">
        <v>1</v>
      </c>
      <c r="W3" s="64" t="str">
        <f>IF(Auslosung_Turnierdaten!F9="","Spieler 1",Auslosung_Turnierdaten!F9)</f>
        <v>Spieler 1</v>
      </c>
      <c r="X3" s="64">
        <f aca="true" t="shared" si="3" ref="X3:X34">IF(W3="Freilos",0,SUMIF($D$3:$E$129,W3,$T$3:$U$129))</f>
        <v>0</v>
      </c>
      <c r="Y3" s="64">
        <f aca="true" t="shared" si="4" ref="Y3:Y34">SUMIF($D$3:$E$129,W3,$P$3:$Q$129)</f>
        <v>0</v>
      </c>
      <c r="Z3" s="64">
        <f aca="true" t="shared" si="5" ref="Z3:Z34">SUMIF($D$3:$E$129,W3,$R$3:$S$129)</f>
        <v>0</v>
      </c>
      <c r="AA3" s="64">
        <f>Y3-Z3</f>
        <v>0</v>
      </c>
      <c r="AB3" s="64">
        <f aca="true" t="shared" si="6" ref="AB3:AB34">SUMIF($D$3:$E$129,W3,$N$3:$O$129)</f>
        <v>0</v>
      </c>
      <c r="AC3" s="64">
        <f>SUMIF($D$3:$E$129,W3,$F$3:$G$129)</f>
        <v>0</v>
      </c>
      <c r="AD3" s="64">
        <f>AB3-AC3</f>
        <v>0</v>
      </c>
      <c r="AE3" s="179">
        <f>IF(AD3&gt;0,AC3/AD3,AC3*1.000000001)</f>
        <v>0</v>
      </c>
      <c r="AF3" s="64">
        <f>SUMIF($D$3:$E$129,W3,$H$3:$I$129)</f>
        <v>0</v>
      </c>
      <c r="AG3" s="179">
        <f>IF(AF3&gt;0,AC3/AF3,0)</f>
        <v>0</v>
      </c>
      <c r="AH3" s="179">
        <f aca="true" t="shared" si="7" ref="AH3:AH34">MAX(AJ3:AL3)</f>
        <v>0</v>
      </c>
      <c r="AI3" s="64">
        <f>MAX(SUMIF($D$3:$E$34,W3,$J$3:$K$34),SUMIF($D$35:$E$66,W3,$J$35:$K$66),SUMIF($D$67:$E$82,W3,$J$67:$K$82),SUMIF($D$83:$E$98,W3,$J$83:$K$98),SUMIF($D$99:$E$106,W3,$J$99:$K$106),SUMIF($D$107:$E$114,W3,$J$107:$K$114),SUMIF($D$115:$E$118,W3,$J$115:$K$118),SUMIF($D$119:$E$122,W3,$J$119:$K$122),SUMIF($D$123:$E$124,W3,$J$123:$K$124),SUMIF($D$125:$E$126,W3,$J$125:$K$126),SUMIF($D$127:$E$127,W3,$J$127:$K$127),SUMIF($D$128:$E$128,W3,$J$128:$K$128),SUMIF($D$129:$E$129,W3,$J$129:$K$129))</f>
        <v>0</v>
      </c>
      <c r="AJ3" s="64">
        <f>MAX(IF(AND(SUMIF($D$3:$E$34,W3,$H$3:$I$34)&gt;0,SUMIF($D$3:$E$34,W3,$R$3:$S$34)&gt;0),SUMIF($D$3:$E$34,W3,$F$3:$G$34)/SUMIF($D$3:$E$34,W3,$H$3:$I$34),0),IF(AND(SUMIF($D$35:$E$66,W3,$H$35:$I$66)&gt;0,SUMIF($D$35:$E$66,W3,$R$35:$S$66)&gt;0),SUMIF($D$35:$E$66,W3,$F$35:$G$66)/SUMIF($D$35:$E$66,W3,$H$35:$I$66),0),IF(AND(SUMIF($D$67:$E$82,W3,$H$67:$I$82)&gt;0,SUMIF($D$67:$E$82,W3,$R$67:$S$82)&gt;0),SUMIF($D$67:$E$82,W3,$F$67:$G$82)/SUMIF($D$67:$E$82,W3,$H$67:$I$82),0),IF(AND(SUMIF($D$83:$E$98,W3,$H$83:$I$98)&gt;0,SUMIF($D$83:$E$98,W3,$R$83:$S$98)&gt;0),SUMIF($D$83:$E$98,W3,$F$83:$G$98)/SUMIF($D$83:$E$98,W3,$H$83:$I$98),0),IF(AND(SUMIF($D$99:$E$106,W3,$H$99:$I$106)&gt;0,SUMIF($D$99:$E$106,W3,$R$99:$S$106)&gt;0),SUMIF($D$99:$E$106,W3,$F$99:$G$106)/SUMIF($D$99:$E$106,W3,$H$99:$I$106),0))</f>
        <v>0</v>
      </c>
      <c r="AK3" s="64">
        <f>MAX(IF(AND(SUMIF($D$107:$E$114,W3,$H$107:$I$114)&gt;0,SUMIF($D$107:$E$114,W3,$R$107:$S$114)&gt;0),SUMIF($D$107:$E$114,W3,$F$107:$G$114)/SUMIF($D$107:$E$114,W3,$H$107:$I$114),0),IF(AND(SUMIF($D$115:$E$118,W3,$H$115:$I$118)&gt;0,SUMIF($D$115:$E$118,W3,$R$115:$S$118)&gt;0),SUMIF($D$115:$E$118,W3,$F$115:$G$118)/SUMIF($D$115:$E$118,W3,$H$115:$I$118),0),IF(AND(SUMIF($D$119:$E$122,W3,$H$119:$I$122)&gt;0,SUMIF($D$119:$E$122,W3,$R$119:$S$122)&gt;0),SUMIF($D$119:$E$122,W3,$F$119:$G$122)/SUMIF($D$119:$E$122,W3,$H$119:$I$122),0),IF(AND(SUMIF($D$123:$E$124,W3,$H$123:$I$124)&gt;0,SUMIF($D$123:$E$124,W3,$R$123:$S$124)&gt;0),SUMIF($D$123:$E$124,W3,$F$123:$G$124)/SUMIF($D$123:$E$124,W3,$H$123:$I$124),0),IF(AND(SUMIF($D$125:$E$126,W3,$H$125:$I$126)&gt;0,SUMIF($D$125:$E$126,W3,$R$125:$S$126)&gt;0),SUMIF($D$125:$E$126,W3,$F$125:$G$126)/SUMIF($D$125:$E$126,W3,$H$125:$I$126),0))</f>
        <v>0</v>
      </c>
      <c r="AL3" s="64">
        <f>MAX(IF(AND(SUMIF($D$127:$E$127,W3,$H$127:$I$127)&gt;0,SUMIF($D$127:$E$127,W3,$R$127:$S$127)&gt;0),SUMIF($D$127:$E$127,W3,$F$127:$G$127)/SUMIF($D$127:$E$127,W3,$H$127:$I$127),0),IF(AND(SUMIF($D$128:$E$128,W3,$H$128:$I$128)&gt;0,SUMIF($D$128:$E$128,W3,$R$128:$S$128)&gt;0),SUMIF($D$128:$E$128,W3,$F$128:$G$128)/SUMIF($D$128:$E$128,W3,$H$128:$I$128),0),IF(AND(SUMIF($D$129:$E$129,W3,$H$129:$I$129)&gt;0,SUMIF($D$129:$E$129,W3,$R$129:$S$129)&gt;0),SUMIF($D$129:$E$129,W3,$F$129:$G$129)/SUMIF($D$129:$E$129,W3,$H$129:$I$129),0))</f>
        <v>0</v>
      </c>
      <c r="AM3" s="180"/>
      <c r="AN3" s="181"/>
      <c r="AO3" s="182"/>
      <c r="AP3" s="64">
        <f>IF(T3+U3&gt;0,"",L3)</f>
        <v>0</v>
      </c>
      <c r="AQ3" s="64">
        <f>IF(AND(COUNTIF(L3:L3:$L$129,L3)=1,F3+G3&gt;0),L3&amp;"-","")</f>
      </c>
      <c r="AR3" s="64">
        <f>IF(OR(D3="Freilos",E3="Freilos"),1,"")</f>
      </c>
      <c r="AS3" s="202"/>
      <c r="AT3" s="202"/>
      <c r="AU3" s="203">
        <f>IF(AT3&gt;AS3,IF(AND(AR3="",AT3=""),"",AT3-AS3),"")</f>
      </c>
      <c r="AV3" s="64" t="str">
        <f>IF(Auslosung_Turnierdaten!L9="","öüä",Auslosung_Turnierdaten!L9)</f>
        <v>öüä</v>
      </c>
      <c r="AW3" s="64">
        <f>COUNTIF(L$3:L$129,AV3)-SUMIF(L$3:L$129,AV3,P$3:P$129)</f>
        <v>0</v>
      </c>
    </row>
    <row r="4" spans="3:49" ht="10.5">
      <c r="C4" s="70">
        <v>2</v>
      </c>
      <c r="D4" s="77" t="str">
        <f>IF(W19="Freilos","Freilos",IF(W19="","Spieler 17",W19))</f>
        <v>Spieler 17</v>
      </c>
      <c r="E4" s="78" t="str">
        <f>IF(W51="Freilos","Freilos",IF(W51="","Spieler 49",W51))</f>
        <v>Spieler 49</v>
      </c>
      <c r="F4" s="79"/>
      <c r="G4" s="80"/>
      <c r="H4" s="80"/>
      <c r="I4" s="80"/>
      <c r="J4" s="80"/>
      <c r="K4" s="81"/>
      <c r="L4" s="217"/>
      <c r="N4" s="64">
        <f t="shared" si="0"/>
        <v>0</v>
      </c>
      <c r="O4" s="64">
        <f t="shared" si="1"/>
        <v>0</v>
      </c>
      <c r="P4" s="64">
        <f aca="true" t="shared" si="8" ref="P4:P66">IF(D4="Freilos",0,IF(F4&lt;G4,1,IF(F4&gt;G4,1,0)))</f>
        <v>0</v>
      </c>
      <c r="Q4" s="64">
        <f aca="true" t="shared" si="9" ref="Q4:Q66">IF(D4="Freilos",0,IF(F4&lt;G4,1,IF(F4&gt;G4,1,0)))</f>
        <v>0</v>
      </c>
      <c r="R4" s="64">
        <f aca="true" t="shared" si="10" ref="R4:R66">IF(D4="Freilos",0,IF(F4&gt;G4,1,0))</f>
        <v>0</v>
      </c>
      <c r="S4" s="64">
        <f aca="true" t="shared" si="11" ref="S4:S66">IF(D4="Freilos",0,IF(G4&gt;F4,1,0))</f>
        <v>0</v>
      </c>
      <c r="T4" s="178">
        <f t="shared" si="2"/>
        <v>0</v>
      </c>
      <c r="U4" s="178">
        <f aca="true" t="shared" si="12" ref="U4:U50">IF(D4="Freilos",3,IF(G4&gt;F4,3,0))</f>
        <v>0</v>
      </c>
      <c r="V4" s="64">
        <v>2</v>
      </c>
      <c r="W4" s="64" t="str">
        <f>IF(Auslosung_Turnierdaten!F10="","Spieler 2",Auslosung_Turnierdaten!F10)</f>
        <v>Spieler 2</v>
      </c>
      <c r="X4" s="64">
        <f t="shared" si="3"/>
        <v>0</v>
      </c>
      <c r="Y4" s="64">
        <f t="shared" si="4"/>
        <v>0</v>
      </c>
      <c r="Z4" s="64">
        <f t="shared" si="5"/>
        <v>0</v>
      </c>
      <c r="AA4" s="64">
        <f aca="true" t="shared" si="13" ref="AA4:AA66">Y4-Z4</f>
        <v>0</v>
      </c>
      <c r="AB4" s="64">
        <f t="shared" si="6"/>
        <v>0</v>
      </c>
      <c r="AC4" s="64">
        <f aca="true" t="shared" si="14" ref="AC4:AC66">SUMIF($D$3:$E$129,W4,$F$3:$G$129)</f>
        <v>0</v>
      </c>
      <c r="AD4" s="64">
        <f aca="true" t="shared" si="15" ref="AD4:AD66">AB4-AC4</f>
        <v>0</v>
      </c>
      <c r="AE4" s="179">
        <f aca="true" t="shared" si="16" ref="AE4:AE66">IF(AD4&gt;0,AC4/AD4,AC4*1.000000001)</f>
        <v>0</v>
      </c>
      <c r="AF4" s="64">
        <f aca="true" t="shared" si="17" ref="AF4:AF66">SUMIF($D$3:$E$129,W4,$H$3:$I$129)</f>
        <v>0</v>
      </c>
      <c r="AG4" s="179">
        <f aca="true" t="shared" si="18" ref="AG4:AG66">IF(AF4&gt;0,AC4/AF4,0)</f>
        <v>0</v>
      </c>
      <c r="AH4" s="179">
        <f t="shared" si="7"/>
        <v>0</v>
      </c>
      <c r="AI4" s="64">
        <f aca="true" t="shared" si="19" ref="AI4:AI66">MAX(SUMIF($D$3:$E$34,W4,$J$3:$K$34),SUMIF($D$35:$E$66,W4,$J$35:$K$66),SUMIF($D$67:$E$82,W4,$J$67:$K$82),SUMIF($D$83:$E$98,W4,$J$83:$K$98),SUMIF($D$99:$E$106,W4,$J$99:$K$106),SUMIF($D$107:$E$114,W4,$J$107:$K$114),SUMIF($D$115:$E$118,W4,$J$115:$K$118),SUMIF($D$119:$E$122,W4,$J$119:$K$122),SUMIF($D$123:$E$124,W4,$J$123:$K$124),SUMIF($D$125:$E$126,W4,$J$125:$K$126),SUMIF($D$127:$E$127,W4,$J$127:$K$127),SUMIF($D$128:$E$128,W4,$J$128:$K$128),SUMIF($D$129:$E$129,W4,$J$129:$K$129))</f>
        <v>0</v>
      </c>
      <c r="AJ4" s="64">
        <f aca="true" t="shared" si="20" ref="AJ4:AJ66">MAX(IF(AND(SUMIF($D$3:$E$34,W4,$H$3:$I$34)&gt;0,SUMIF($D$3:$E$34,W4,$R$3:$S$34)&gt;0),SUMIF($D$3:$E$34,W4,$F$3:$G$34)/SUMIF($D$3:$E$34,W4,$H$3:$I$34),0),IF(AND(SUMIF($D$35:$E$66,W4,$H$35:$I$66)&gt;0,SUMIF($D$35:$E$66,W4,$R$35:$S$66)&gt;0),SUMIF($D$35:$E$66,W4,$F$35:$G$66)/SUMIF($D$35:$E$66,W4,$H$35:$I$66),0),IF(AND(SUMIF($D$67:$E$82,W4,$H$67:$I$82)&gt;0,SUMIF($D$67:$E$82,W4,$R$67:$S$82)&gt;0),SUMIF($D$67:$E$82,W4,$F$67:$G$82)/SUMIF($D$67:$E$82,W4,$H$67:$I$82),0),IF(AND(SUMIF($D$83:$E$98,W4,$H$83:$I$98)&gt;0,SUMIF($D$83:$E$98,W4,$R$83:$S$98)&gt;0),SUMIF($D$83:$E$98,W4,$F$83:$G$98)/SUMIF($D$83:$E$98,W4,$H$83:$I$98),0),IF(AND(SUMIF($D$99:$E$106,W4,$H$99:$I$106)&gt;0,SUMIF($D$99:$E$106,W4,$R$99:$S$106)&gt;0),SUMIF($D$99:$E$106,W4,$F$99:$G$106)/SUMIF($D$99:$E$106,W4,$H$99:$I$106),0))</f>
        <v>0</v>
      </c>
      <c r="AK4" s="64">
        <f aca="true" t="shared" si="21" ref="AK4:AK66">MAX(IF(AND(SUMIF($D$107:$E$114,W4,$H$107:$I$114)&gt;0,SUMIF($D$107:$E$114,W4,$R$107:$S$114)&gt;0),SUMIF($D$107:$E$114,W4,$F$107:$G$114)/SUMIF($D$107:$E$114,W4,$H$107:$I$114),0),IF(AND(SUMIF($D$115:$E$118,W4,$H$115:$I$118)&gt;0,SUMIF($D$115:$E$118,W4,$R$115:$S$118)&gt;0),SUMIF($D$115:$E$118,W4,$F$115:$G$118)/SUMIF($D$115:$E$118,W4,$H$115:$I$118),0),IF(AND(SUMIF($D$119:$E$122,W4,$H$119:$I$122)&gt;0,SUMIF($D$119:$E$122,W4,$R$119:$S$122)&gt;0),SUMIF($D$119:$E$122,W4,$F$119:$G$122)/SUMIF($D$119:$E$122,W4,$H$119:$I$122),0),IF(AND(SUMIF($D$123:$E$124,W4,$H$123:$I$124)&gt;0,SUMIF($D$123:$E$124,W4,$R$123:$S$124)&gt;0),SUMIF($D$123:$E$124,W4,$F$123:$G$124)/SUMIF($D$123:$E$124,W4,$H$123:$I$124),0),IF(AND(SUMIF($D$125:$E$126,W4,$H$125:$I$126)&gt;0,SUMIF($D$125:$E$126,W4,$R$125:$S$126)&gt;0),SUMIF($D$125:$E$126,W4,$F$125:$G$126)/SUMIF($D$125:$E$126,W4,$H$125:$I$126),0))</f>
        <v>0</v>
      </c>
      <c r="AL4" s="64">
        <f aca="true" t="shared" si="22" ref="AL4:AL66">MAX(IF(AND(SUMIF($D$127:$E$127,W4,$H$127:$I$127)&gt;0,SUMIF($D$127:$E$127,W4,$R$127:$S$127)&gt;0),SUMIF($D$127:$E$127,W4,$F$127:$G$127)/SUMIF($D$127:$E$127,W4,$H$127:$I$127),0),IF(AND(SUMIF($D$128:$E$128,W4,$H$128:$I$128)&gt;0,SUMIF($D$128:$E$128,W4,$R$128:$S$128)&gt;0),SUMIF($D$128:$E$128,W4,$F$128:$G$128)/SUMIF($D$128:$E$128,W4,$H$128:$I$128),0),IF(AND(SUMIF($D$129:$E$129,W4,$H$129:$I$129)&gt;0,SUMIF($D$129:$E$129,W4,$R$129:$S$129)&gt;0),SUMIF($D$129:$E$129,W4,$F$129:$G$129)/SUMIF($D$129:$E$129,W4,$H$129:$I$129),0))</f>
        <v>0</v>
      </c>
      <c r="AM4" s="180"/>
      <c r="AN4" s="181"/>
      <c r="AO4" s="182"/>
      <c r="AP4" s="64">
        <f aca="true" t="shared" si="23" ref="AP4:AP67">IF(T4+U4&gt;0,"",L4)</f>
        <v>0</v>
      </c>
      <c r="AQ4" s="64">
        <f>IF(AND(COUNTIF(L4:L4:$L$129,L4)=1,F4+G4&gt;0),L4&amp;"-","")</f>
      </c>
      <c r="AR4" s="64">
        <f aca="true" t="shared" si="24" ref="AR4:AR67">IF(OR(D4="Freilos",E4="Freilos"),1,"")</f>
      </c>
      <c r="AS4" s="202"/>
      <c r="AT4" s="202"/>
      <c r="AU4" s="203">
        <f aca="true" t="shared" si="25" ref="AU4:AU67">IF(AT4&gt;AS4,IF(AND(AR4="",AT4=""),"",AT4-AS4),"")</f>
      </c>
      <c r="AV4" s="64" t="str">
        <f>IF(Auslosung_Turnierdaten!L10="","öüä",Auslosung_Turnierdaten!L10)</f>
        <v>öüä</v>
      </c>
      <c r="AW4" s="64">
        <f aca="true" t="shared" si="26" ref="AW4:AW34">COUNTIF(L$3:L$129,AV4)-SUMIF(L$3:L$129,AV4,P$3:P$129)</f>
        <v>0</v>
      </c>
    </row>
    <row r="5" spans="3:49" ht="10.5">
      <c r="C5" s="70">
        <v>3</v>
      </c>
      <c r="D5" s="77" t="str">
        <f>IF(W11="Freilos","Freilos",IF(W11="","Spieler 9",W11))</f>
        <v>Spieler 9</v>
      </c>
      <c r="E5" s="78" t="str">
        <f>IF(W43="Freilos","Freilos",IF(W43="","Spieler 41",W43))</f>
        <v>Spieler 41</v>
      </c>
      <c r="F5" s="79"/>
      <c r="G5" s="80"/>
      <c r="H5" s="80"/>
      <c r="I5" s="80"/>
      <c r="J5" s="80"/>
      <c r="K5" s="81"/>
      <c r="L5" s="217"/>
      <c r="M5" s="86"/>
      <c r="N5" s="64">
        <f t="shared" si="0"/>
        <v>0</v>
      </c>
      <c r="O5" s="64">
        <f t="shared" si="1"/>
        <v>0</v>
      </c>
      <c r="P5" s="64">
        <f t="shared" si="8"/>
        <v>0</v>
      </c>
      <c r="Q5" s="64">
        <f t="shared" si="9"/>
        <v>0</v>
      </c>
      <c r="R5" s="64">
        <f t="shared" si="10"/>
        <v>0</v>
      </c>
      <c r="S5" s="64">
        <f t="shared" si="11"/>
        <v>0</v>
      </c>
      <c r="T5" s="178">
        <f t="shared" si="2"/>
        <v>0</v>
      </c>
      <c r="U5" s="178">
        <f t="shared" si="12"/>
        <v>0</v>
      </c>
      <c r="V5" s="64">
        <v>3</v>
      </c>
      <c r="W5" s="64" t="str">
        <f>IF(Auslosung_Turnierdaten!F11="","Spieler 3",Auslosung_Turnierdaten!F11)</f>
        <v>Spieler 3</v>
      </c>
      <c r="X5" s="64">
        <f t="shared" si="3"/>
        <v>0</v>
      </c>
      <c r="Y5" s="64">
        <f t="shared" si="4"/>
        <v>0</v>
      </c>
      <c r="Z5" s="64">
        <f t="shared" si="5"/>
        <v>0</v>
      </c>
      <c r="AA5" s="64">
        <f t="shared" si="13"/>
        <v>0</v>
      </c>
      <c r="AB5" s="64">
        <f t="shared" si="6"/>
        <v>0</v>
      </c>
      <c r="AC5" s="64">
        <f t="shared" si="14"/>
        <v>0</v>
      </c>
      <c r="AD5" s="64">
        <f t="shared" si="15"/>
        <v>0</v>
      </c>
      <c r="AE5" s="179">
        <f t="shared" si="16"/>
        <v>0</v>
      </c>
      <c r="AF5" s="64">
        <f t="shared" si="17"/>
        <v>0</v>
      </c>
      <c r="AG5" s="179">
        <f t="shared" si="18"/>
        <v>0</v>
      </c>
      <c r="AH5" s="179">
        <f t="shared" si="7"/>
        <v>0</v>
      </c>
      <c r="AI5" s="64">
        <f t="shared" si="19"/>
        <v>0</v>
      </c>
      <c r="AJ5" s="64">
        <f t="shared" si="20"/>
        <v>0</v>
      </c>
      <c r="AK5" s="64">
        <f t="shared" si="21"/>
        <v>0</v>
      </c>
      <c r="AL5" s="64">
        <f t="shared" si="22"/>
        <v>0</v>
      </c>
      <c r="AM5" s="180"/>
      <c r="AN5" s="181"/>
      <c r="AO5" s="182"/>
      <c r="AP5" s="64">
        <f t="shared" si="23"/>
        <v>0</v>
      </c>
      <c r="AQ5" s="64">
        <f>IF(AND(COUNTIF(L5:L5:$L$129,L5)=1,F5+G5&gt;0),L5&amp;"-","")</f>
      </c>
      <c r="AR5" s="64">
        <f t="shared" si="24"/>
      </c>
      <c r="AS5" s="202"/>
      <c r="AT5" s="202"/>
      <c r="AU5" s="203">
        <f t="shared" si="25"/>
      </c>
      <c r="AV5" s="64" t="str">
        <f>IF(Auslosung_Turnierdaten!L11="","öüä",Auslosung_Turnierdaten!L11)</f>
        <v>öüä</v>
      </c>
      <c r="AW5" s="64">
        <f t="shared" si="26"/>
        <v>0</v>
      </c>
    </row>
    <row r="6" spans="3:49" ht="10.5">
      <c r="C6" s="70">
        <v>4</v>
      </c>
      <c r="D6" s="77" t="str">
        <f>IF(W27="Freilos","Freilos",IF(W27="","Spieler 25",W27))</f>
        <v>Spieler 25</v>
      </c>
      <c r="E6" s="78" t="str">
        <f>IF(W59="Freilos","Freilos",IF(W59="","Spieler 57",W59))</f>
        <v>Spieler 57</v>
      </c>
      <c r="F6" s="79"/>
      <c r="G6" s="80"/>
      <c r="H6" s="80"/>
      <c r="I6" s="80"/>
      <c r="J6" s="80"/>
      <c r="K6" s="81"/>
      <c r="L6" s="217"/>
      <c r="M6" s="86"/>
      <c r="N6" s="64">
        <f t="shared" si="0"/>
        <v>0</v>
      </c>
      <c r="O6" s="64">
        <f t="shared" si="1"/>
        <v>0</v>
      </c>
      <c r="P6" s="64">
        <f t="shared" si="8"/>
        <v>0</v>
      </c>
      <c r="Q6" s="64">
        <f t="shared" si="9"/>
        <v>0</v>
      </c>
      <c r="R6" s="64">
        <f t="shared" si="10"/>
        <v>0</v>
      </c>
      <c r="S6" s="64">
        <f t="shared" si="11"/>
        <v>0</v>
      </c>
      <c r="T6" s="178">
        <f t="shared" si="2"/>
        <v>0</v>
      </c>
      <c r="U6" s="178">
        <f t="shared" si="12"/>
        <v>0</v>
      </c>
      <c r="V6" s="64">
        <v>4</v>
      </c>
      <c r="W6" s="64" t="str">
        <f>IF(Auslosung_Turnierdaten!F12="","Spieler 4",Auslosung_Turnierdaten!F12)</f>
        <v>Spieler 4</v>
      </c>
      <c r="X6" s="64">
        <f t="shared" si="3"/>
        <v>0</v>
      </c>
      <c r="Y6" s="64">
        <f t="shared" si="4"/>
        <v>0</v>
      </c>
      <c r="Z6" s="64">
        <f t="shared" si="5"/>
        <v>0</v>
      </c>
      <c r="AA6" s="64">
        <f t="shared" si="13"/>
        <v>0</v>
      </c>
      <c r="AB6" s="64">
        <f t="shared" si="6"/>
        <v>0</v>
      </c>
      <c r="AC6" s="64">
        <f t="shared" si="14"/>
        <v>0</v>
      </c>
      <c r="AD6" s="64">
        <f t="shared" si="15"/>
        <v>0</v>
      </c>
      <c r="AE6" s="179">
        <f t="shared" si="16"/>
        <v>0</v>
      </c>
      <c r="AF6" s="64">
        <f t="shared" si="17"/>
        <v>0</v>
      </c>
      <c r="AG6" s="179">
        <f t="shared" si="18"/>
        <v>0</v>
      </c>
      <c r="AH6" s="179">
        <f t="shared" si="7"/>
        <v>0</v>
      </c>
      <c r="AI6" s="64">
        <f t="shared" si="19"/>
        <v>0</v>
      </c>
      <c r="AJ6" s="64">
        <f t="shared" si="20"/>
        <v>0</v>
      </c>
      <c r="AK6" s="64">
        <f t="shared" si="21"/>
        <v>0</v>
      </c>
      <c r="AL6" s="64">
        <f t="shared" si="22"/>
        <v>0</v>
      </c>
      <c r="AM6" s="180"/>
      <c r="AN6" s="181"/>
      <c r="AO6" s="182"/>
      <c r="AP6" s="64">
        <f t="shared" si="23"/>
        <v>0</v>
      </c>
      <c r="AQ6" s="64">
        <f>IF(AND(COUNTIF(L6:L6:$L$129,L6)=1,F6+G6&gt;0),L6&amp;"-","")</f>
      </c>
      <c r="AR6" s="64">
        <f t="shared" si="24"/>
      </c>
      <c r="AS6" s="202"/>
      <c r="AT6" s="202"/>
      <c r="AU6" s="203">
        <f t="shared" si="25"/>
      </c>
      <c r="AV6" s="64" t="str">
        <f>IF(Auslosung_Turnierdaten!L12="","öüä",Auslosung_Turnierdaten!L12)</f>
        <v>öüä</v>
      </c>
      <c r="AW6" s="64">
        <f t="shared" si="26"/>
        <v>0</v>
      </c>
    </row>
    <row r="7" spans="3:49" ht="11.25" thickBot="1">
      <c r="C7" s="70">
        <v>5</v>
      </c>
      <c r="D7" s="77" t="str">
        <f>IF(W7="Freilos","Freilos",IF(W7="","Spieler 5",W7))</f>
        <v>Spieler 5</v>
      </c>
      <c r="E7" s="78" t="str">
        <f>IF(W39="Freilos","Freilos",IF(W39="","Spieler 37",W39))</f>
        <v>Spieler 37</v>
      </c>
      <c r="F7" s="79"/>
      <c r="G7" s="80"/>
      <c r="H7" s="80"/>
      <c r="I7" s="80"/>
      <c r="J7" s="80"/>
      <c r="K7" s="81"/>
      <c r="L7" s="217"/>
      <c r="M7" s="86"/>
      <c r="N7" s="64">
        <f t="shared" si="0"/>
        <v>0</v>
      </c>
      <c r="O7" s="64">
        <f t="shared" si="1"/>
        <v>0</v>
      </c>
      <c r="P7" s="64">
        <f t="shared" si="8"/>
        <v>0</v>
      </c>
      <c r="Q7" s="64">
        <f t="shared" si="9"/>
        <v>0</v>
      </c>
      <c r="R7" s="64">
        <f t="shared" si="10"/>
        <v>0</v>
      </c>
      <c r="S7" s="64">
        <f t="shared" si="11"/>
        <v>0</v>
      </c>
      <c r="T7" s="178">
        <f t="shared" si="2"/>
        <v>0</v>
      </c>
      <c r="U7" s="178">
        <f t="shared" si="12"/>
        <v>0</v>
      </c>
      <c r="V7" s="64">
        <v>5</v>
      </c>
      <c r="W7" s="64" t="str">
        <f>IF(Auslosung_Turnierdaten!F13="","Spieler 5",Auslosung_Turnierdaten!F13)</f>
        <v>Spieler 5</v>
      </c>
      <c r="X7" s="64">
        <f t="shared" si="3"/>
        <v>0</v>
      </c>
      <c r="Y7" s="64">
        <f t="shared" si="4"/>
        <v>0</v>
      </c>
      <c r="Z7" s="64">
        <f t="shared" si="5"/>
        <v>0</v>
      </c>
      <c r="AA7" s="64">
        <f t="shared" si="13"/>
        <v>0</v>
      </c>
      <c r="AB7" s="64">
        <f t="shared" si="6"/>
        <v>0</v>
      </c>
      <c r="AC7" s="64">
        <f t="shared" si="14"/>
        <v>0</v>
      </c>
      <c r="AD7" s="64">
        <f t="shared" si="15"/>
        <v>0</v>
      </c>
      <c r="AE7" s="179">
        <f t="shared" si="16"/>
        <v>0</v>
      </c>
      <c r="AF7" s="64">
        <f t="shared" si="17"/>
        <v>0</v>
      </c>
      <c r="AG7" s="179">
        <f t="shared" si="18"/>
        <v>0</v>
      </c>
      <c r="AH7" s="179">
        <f t="shared" si="7"/>
        <v>0</v>
      </c>
      <c r="AI7" s="64">
        <f t="shared" si="19"/>
        <v>0</v>
      </c>
      <c r="AJ7" s="64">
        <f t="shared" si="20"/>
        <v>0</v>
      </c>
      <c r="AK7" s="64">
        <f t="shared" si="21"/>
        <v>0</v>
      </c>
      <c r="AL7" s="64">
        <f t="shared" si="22"/>
        <v>0</v>
      </c>
      <c r="AM7" s="180"/>
      <c r="AN7" s="181"/>
      <c r="AO7" s="182"/>
      <c r="AP7" s="64">
        <f t="shared" si="23"/>
        <v>0</v>
      </c>
      <c r="AQ7" s="64">
        <f>IF(AND(COUNTIF(L7:L7:$L$129,L7)=1,F7+G7&gt;0),L7&amp;"-","")</f>
      </c>
      <c r="AR7" s="64">
        <f t="shared" si="24"/>
      </c>
      <c r="AS7" s="202"/>
      <c r="AT7" s="202"/>
      <c r="AU7" s="203">
        <f t="shared" si="25"/>
      </c>
      <c r="AV7" s="64" t="str">
        <f>IF(Auslosung_Turnierdaten!L13="","öüä",Auslosung_Turnierdaten!L13)</f>
        <v>öüä</v>
      </c>
      <c r="AW7" s="64">
        <f t="shared" si="26"/>
        <v>0</v>
      </c>
    </row>
    <row r="8" spans="3:49" ht="10.5">
      <c r="C8" s="70">
        <v>6</v>
      </c>
      <c r="D8" s="77" t="str">
        <f>IF(W23="Freilos","Freilos",IF(W23="","Spieler 21",W23))</f>
        <v>Spieler 21</v>
      </c>
      <c r="E8" s="78" t="str">
        <f>IF(W55="Freilos","Freilos",IF(W55="","Spieler 53",W55))</f>
        <v>Spieler 53</v>
      </c>
      <c r="F8" s="79"/>
      <c r="G8" s="80"/>
      <c r="H8" s="80"/>
      <c r="I8" s="80"/>
      <c r="J8" s="80"/>
      <c r="K8" s="81"/>
      <c r="L8" s="217"/>
      <c r="M8" s="214" t="s">
        <v>1129</v>
      </c>
      <c r="N8" s="64">
        <f t="shared" si="0"/>
        <v>0</v>
      </c>
      <c r="O8" s="64">
        <f t="shared" si="1"/>
        <v>0</v>
      </c>
      <c r="P8" s="64">
        <f t="shared" si="8"/>
        <v>0</v>
      </c>
      <c r="Q8" s="64">
        <f t="shared" si="9"/>
        <v>0</v>
      </c>
      <c r="R8" s="64">
        <f t="shared" si="10"/>
        <v>0</v>
      </c>
      <c r="S8" s="64">
        <f t="shared" si="11"/>
        <v>0</v>
      </c>
      <c r="T8" s="178">
        <f t="shared" si="2"/>
        <v>0</v>
      </c>
      <c r="U8" s="178">
        <f t="shared" si="12"/>
        <v>0</v>
      </c>
      <c r="V8" s="64">
        <v>6</v>
      </c>
      <c r="W8" s="64" t="str">
        <f>IF(Auslosung_Turnierdaten!F14="","Spieler 6",Auslosung_Turnierdaten!F14)</f>
        <v>Spieler 6</v>
      </c>
      <c r="X8" s="64">
        <f t="shared" si="3"/>
        <v>0</v>
      </c>
      <c r="Y8" s="64">
        <f t="shared" si="4"/>
        <v>0</v>
      </c>
      <c r="Z8" s="64">
        <f t="shared" si="5"/>
        <v>0</v>
      </c>
      <c r="AA8" s="64">
        <f t="shared" si="13"/>
        <v>0</v>
      </c>
      <c r="AB8" s="64">
        <f t="shared" si="6"/>
        <v>0</v>
      </c>
      <c r="AC8" s="64">
        <f t="shared" si="14"/>
        <v>0</v>
      </c>
      <c r="AD8" s="64">
        <f t="shared" si="15"/>
        <v>0</v>
      </c>
      <c r="AE8" s="179">
        <f t="shared" si="16"/>
        <v>0</v>
      </c>
      <c r="AF8" s="64">
        <f t="shared" si="17"/>
        <v>0</v>
      </c>
      <c r="AG8" s="179">
        <f t="shared" si="18"/>
        <v>0</v>
      </c>
      <c r="AH8" s="179">
        <f t="shared" si="7"/>
        <v>0</v>
      </c>
      <c r="AI8" s="64">
        <f t="shared" si="19"/>
        <v>0</v>
      </c>
      <c r="AJ8" s="64">
        <f t="shared" si="20"/>
        <v>0</v>
      </c>
      <c r="AK8" s="64">
        <f t="shared" si="21"/>
        <v>0</v>
      </c>
      <c r="AL8" s="64">
        <f t="shared" si="22"/>
        <v>0</v>
      </c>
      <c r="AM8" s="180"/>
      <c r="AN8" s="181"/>
      <c r="AO8" s="182"/>
      <c r="AP8" s="64">
        <f t="shared" si="23"/>
        <v>0</v>
      </c>
      <c r="AQ8" s="64">
        <f>IF(AND(COUNTIF(L8:L8:$L$129,L8)=1,F8+G8&gt;0),L8&amp;"-","")</f>
      </c>
      <c r="AR8" s="64">
        <f t="shared" si="24"/>
      </c>
      <c r="AS8" s="202"/>
      <c r="AT8" s="202"/>
      <c r="AU8" s="203">
        <f t="shared" si="25"/>
      </c>
      <c r="AV8" s="64" t="str">
        <f>IF(Auslosung_Turnierdaten!L14="","öüä",Auslosung_Turnierdaten!L14)</f>
        <v>öüä</v>
      </c>
      <c r="AW8" s="64">
        <f t="shared" si="26"/>
        <v>0</v>
      </c>
    </row>
    <row r="9" spans="3:49" ht="10.5">
      <c r="C9" s="70">
        <v>7</v>
      </c>
      <c r="D9" s="77" t="str">
        <f>IF(W15="Freilos","Freilos",IF(W15="","Spieler 13",W15))</f>
        <v>Spieler 13</v>
      </c>
      <c r="E9" s="78" t="str">
        <f>IF(W47="Freilos","Freilos",IF(W47="","Spieler 45",W47))</f>
        <v>Spieler 45</v>
      </c>
      <c r="F9" s="79"/>
      <c r="G9" s="80"/>
      <c r="H9" s="80"/>
      <c r="I9" s="80"/>
      <c r="J9" s="80"/>
      <c r="K9" s="81"/>
      <c r="L9" s="217"/>
      <c r="M9" s="215" t="s">
        <v>1130</v>
      </c>
      <c r="N9" s="64">
        <f t="shared" si="0"/>
        <v>0</v>
      </c>
      <c r="O9" s="64">
        <f t="shared" si="1"/>
        <v>0</v>
      </c>
      <c r="P9" s="64">
        <f t="shared" si="8"/>
        <v>0</v>
      </c>
      <c r="Q9" s="64">
        <f t="shared" si="9"/>
        <v>0</v>
      </c>
      <c r="R9" s="64">
        <f t="shared" si="10"/>
        <v>0</v>
      </c>
      <c r="S9" s="64">
        <f t="shared" si="11"/>
        <v>0</v>
      </c>
      <c r="T9" s="178">
        <f t="shared" si="2"/>
        <v>0</v>
      </c>
      <c r="U9" s="178">
        <f t="shared" si="12"/>
        <v>0</v>
      </c>
      <c r="V9" s="64">
        <v>7</v>
      </c>
      <c r="W9" s="64" t="str">
        <f>IF(Auslosung_Turnierdaten!F15="","Spieler 7",Auslosung_Turnierdaten!F15)</f>
        <v>Spieler 7</v>
      </c>
      <c r="X9" s="64">
        <f t="shared" si="3"/>
        <v>0</v>
      </c>
      <c r="Y9" s="64">
        <f t="shared" si="4"/>
        <v>0</v>
      </c>
      <c r="Z9" s="64">
        <f t="shared" si="5"/>
        <v>0</v>
      </c>
      <c r="AA9" s="64">
        <f t="shared" si="13"/>
        <v>0</v>
      </c>
      <c r="AB9" s="64">
        <f t="shared" si="6"/>
        <v>0</v>
      </c>
      <c r="AC9" s="64">
        <f t="shared" si="14"/>
        <v>0</v>
      </c>
      <c r="AD9" s="64">
        <f t="shared" si="15"/>
        <v>0</v>
      </c>
      <c r="AE9" s="179">
        <f t="shared" si="16"/>
        <v>0</v>
      </c>
      <c r="AF9" s="64">
        <f t="shared" si="17"/>
        <v>0</v>
      </c>
      <c r="AG9" s="179">
        <f t="shared" si="18"/>
        <v>0</v>
      </c>
      <c r="AH9" s="179">
        <f t="shared" si="7"/>
        <v>0</v>
      </c>
      <c r="AI9" s="64">
        <f t="shared" si="19"/>
        <v>0</v>
      </c>
      <c r="AJ9" s="64">
        <f t="shared" si="20"/>
        <v>0</v>
      </c>
      <c r="AK9" s="64">
        <f t="shared" si="21"/>
        <v>0</v>
      </c>
      <c r="AL9" s="64">
        <f t="shared" si="22"/>
        <v>0</v>
      </c>
      <c r="AM9" s="180"/>
      <c r="AN9" s="181"/>
      <c r="AO9" s="182"/>
      <c r="AP9" s="64">
        <f t="shared" si="23"/>
        <v>0</v>
      </c>
      <c r="AQ9" s="64">
        <f>IF(AND(COUNTIF(L9:L9:$L$129,L9)=1,F9+G9&gt;0),L9&amp;"-","")</f>
      </c>
      <c r="AR9" s="64">
        <f t="shared" si="24"/>
      </c>
      <c r="AS9" s="202"/>
      <c r="AT9" s="202"/>
      <c r="AU9" s="203">
        <f t="shared" si="25"/>
      </c>
      <c r="AV9" s="64" t="str">
        <f>IF(Auslosung_Turnierdaten!L15="","öüä",Auslosung_Turnierdaten!L15)</f>
        <v>öüä</v>
      </c>
      <c r="AW9" s="64">
        <f t="shared" si="26"/>
        <v>0</v>
      </c>
    </row>
    <row r="10" spans="3:49" ht="11.25" thickBot="1">
      <c r="C10" s="70">
        <v>8</v>
      </c>
      <c r="D10" s="77" t="str">
        <f>IF(W31="Freilos","Freilos",IF(W31="","Spieler 29",W31))</f>
        <v>Spieler 29</v>
      </c>
      <c r="E10" s="78" t="str">
        <f>IF(W63="Freilos","Freilos",IF(W63="","Spieler 61",W63))</f>
        <v>Spieler 61</v>
      </c>
      <c r="F10" s="79"/>
      <c r="G10" s="80"/>
      <c r="H10" s="80"/>
      <c r="I10" s="80"/>
      <c r="J10" s="80"/>
      <c r="K10" s="81"/>
      <c r="L10" s="217"/>
      <c r="M10" s="216" t="s">
        <v>1131</v>
      </c>
      <c r="N10" s="64">
        <f t="shared" si="0"/>
        <v>0</v>
      </c>
      <c r="O10" s="64">
        <f t="shared" si="1"/>
        <v>0</v>
      </c>
      <c r="P10" s="64">
        <f t="shared" si="8"/>
        <v>0</v>
      </c>
      <c r="Q10" s="64">
        <f t="shared" si="9"/>
        <v>0</v>
      </c>
      <c r="R10" s="64">
        <f t="shared" si="10"/>
        <v>0</v>
      </c>
      <c r="S10" s="64">
        <f t="shared" si="11"/>
        <v>0</v>
      </c>
      <c r="T10" s="178">
        <f t="shared" si="2"/>
        <v>0</v>
      </c>
      <c r="U10" s="178">
        <f t="shared" si="12"/>
        <v>0</v>
      </c>
      <c r="V10" s="64">
        <v>8</v>
      </c>
      <c r="W10" s="64" t="str">
        <f>IF(Auslosung_Turnierdaten!F16="","Spieler 8",Auslosung_Turnierdaten!F16)</f>
        <v>Spieler 8</v>
      </c>
      <c r="X10" s="64">
        <f t="shared" si="3"/>
        <v>0</v>
      </c>
      <c r="Y10" s="64">
        <f t="shared" si="4"/>
        <v>0</v>
      </c>
      <c r="Z10" s="64">
        <f t="shared" si="5"/>
        <v>0</v>
      </c>
      <c r="AA10" s="64">
        <f t="shared" si="13"/>
        <v>0</v>
      </c>
      <c r="AB10" s="64">
        <f t="shared" si="6"/>
        <v>0</v>
      </c>
      <c r="AC10" s="64">
        <f t="shared" si="14"/>
        <v>0</v>
      </c>
      <c r="AD10" s="64">
        <f t="shared" si="15"/>
        <v>0</v>
      </c>
      <c r="AE10" s="179">
        <f t="shared" si="16"/>
        <v>0</v>
      </c>
      <c r="AF10" s="64">
        <f t="shared" si="17"/>
        <v>0</v>
      </c>
      <c r="AG10" s="179">
        <f t="shared" si="18"/>
        <v>0</v>
      </c>
      <c r="AH10" s="179">
        <f t="shared" si="7"/>
        <v>0</v>
      </c>
      <c r="AI10" s="64">
        <f t="shared" si="19"/>
        <v>0</v>
      </c>
      <c r="AJ10" s="64">
        <f t="shared" si="20"/>
        <v>0</v>
      </c>
      <c r="AK10" s="64">
        <f t="shared" si="21"/>
        <v>0</v>
      </c>
      <c r="AL10" s="64">
        <f t="shared" si="22"/>
        <v>0</v>
      </c>
      <c r="AM10" s="180"/>
      <c r="AN10" s="181"/>
      <c r="AO10" s="182"/>
      <c r="AP10" s="64">
        <f t="shared" si="23"/>
        <v>0</v>
      </c>
      <c r="AQ10" s="64">
        <f>IF(AND(COUNTIF(L10:L10:$L$129,L10)=1,F10+G10&gt;0),L10&amp;"-","")</f>
      </c>
      <c r="AR10" s="64">
        <f t="shared" si="24"/>
      </c>
      <c r="AS10" s="202"/>
      <c r="AT10" s="202"/>
      <c r="AU10" s="203">
        <f t="shared" si="25"/>
      </c>
      <c r="AV10" s="64" t="str">
        <f>IF(Auslosung_Turnierdaten!L16="","öüä",Auslosung_Turnierdaten!L16)</f>
        <v>öüä</v>
      </c>
      <c r="AW10" s="64">
        <f t="shared" si="26"/>
        <v>0</v>
      </c>
    </row>
    <row r="11" spans="3:49" ht="10.5">
      <c r="C11" s="70">
        <v>9</v>
      </c>
      <c r="D11" s="77" t="str">
        <f>IF(W5="Freilos","Freilos",IF(W5="","Spieler 3",W5))</f>
        <v>Spieler 3</v>
      </c>
      <c r="E11" s="78" t="str">
        <f>IF(W37="Freilos","Freilos",IF(W37="","Spieler 35",W37))</f>
        <v>Spieler 35</v>
      </c>
      <c r="F11" s="79"/>
      <c r="G11" s="80"/>
      <c r="H11" s="80"/>
      <c r="I11" s="80"/>
      <c r="J11" s="80"/>
      <c r="K11" s="81"/>
      <c r="L11" s="217"/>
      <c r="M11" s="86"/>
      <c r="N11" s="64">
        <f t="shared" si="0"/>
        <v>0</v>
      </c>
      <c r="O11" s="64">
        <f t="shared" si="1"/>
        <v>0</v>
      </c>
      <c r="P11" s="64">
        <f t="shared" si="8"/>
        <v>0</v>
      </c>
      <c r="Q11" s="64">
        <f t="shared" si="9"/>
        <v>0</v>
      </c>
      <c r="R11" s="64">
        <f t="shared" si="10"/>
        <v>0</v>
      </c>
      <c r="S11" s="64">
        <f t="shared" si="11"/>
        <v>0</v>
      </c>
      <c r="T11" s="178">
        <f t="shared" si="2"/>
        <v>0</v>
      </c>
      <c r="U11" s="178">
        <f t="shared" si="12"/>
        <v>0</v>
      </c>
      <c r="V11" s="64">
        <v>9</v>
      </c>
      <c r="W11" s="64" t="str">
        <f>IF(Auslosung_Turnierdaten!F17="","Spieler 9",Auslosung_Turnierdaten!F17)</f>
        <v>Spieler 9</v>
      </c>
      <c r="X11" s="64">
        <f t="shared" si="3"/>
        <v>0</v>
      </c>
      <c r="Y11" s="64">
        <f t="shared" si="4"/>
        <v>0</v>
      </c>
      <c r="Z11" s="64">
        <f t="shared" si="5"/>
        <v>0</v>
      </c>
      <c r="AA11" s="64">
        <f t="shared" si="13"/>
        <v>0</v>
      </c>
      <c r="AB11" s="64">
        <f t="shared" si="6"/>
        <v>0</v>
      </c>
      <c r="AC11" s="64">
        <f t="shared" si="14"/>
        <v>0</v>
      </c>
      <c r="AD11" s="64">
        <f t="shared" si="15"/>
        <v>0</v>
      </c>
      <c r="AE11" s="179">
        <f t="shared" si="16"/>
        <v>0</v>
      </c>
      <c r="AF11" s="64">
        <f t="shared" si="17"/>
        <v>0</v>
      </c>
      <c r="AG11" s="179">
        <f t="shared" si="18"/>
        <v>0</v>
      </c>
      <c r="AH11" s="179">
        <f t="shared" si="7"/>
        <v>0</v>
      </c>
      <c r="AI11" s="64">
        <f t="shared" si="19"/>
        <v>0</v>
      </c>
      <c r="AJ11" s="64">
        <f t="shared" si="20"/>
        <v>0</v>
      </c>
      <c r="AK11" s="64">
        <f t="shared" si="21"/>
        <v>0</v>
      </c>
      <c r="AL11" s="64">
        <f t="shared" si="22"/>
        <v>0</v>
      </c>
      <c r="AM11" s="180"/>
      <c r="AN11" s="181"/>
      <c r="AO11" s="182"/>
      <c r="AP11" s="64">
        <f t="shared" si="23"/>
        <v>0</v>
      </c>
      <c r="AQ11" s="64">
        <f>IF(AND(COUNTIF(L11:L11:$L$129,L11)=1,F11+G11&gt;0),L11&amp;"-","")</f>
      </c>
      <c r="AR11" s="64">
        <f t="shared" si="24"/>
      </c>
      <c r="AS11" s="202"/>
      <c r="AT11" s="202"/>
      <c r="AU11" s="203">
        <f t="shared" si="25"/>
      </c>
      <c r="AV11" s="64" t="str">
        <f>IF(Auslosung_Turnierdaten!L17="","öüä",Auslosung_Turnierdaten!L17)</f>
        <v>öüä</v>
      </c>
      <c r="AW11" s="64">
        <f t="shared" si="26"/>
        <v>0</v>
      </c>
    </row>
    <row r="12" spans="3:49" ht="10.5">
      <c r="C12" s="70">
        <v>10</v>
      </c>
      <c r="D12" s="77" t="str">
        <f>IF(W21="Freilos","Freilos",IF(W21="","Spieler 19",W21))</f>
        <v>Spieler 19</v>
      </c>
      <c r="E12" s="78" t="str">
        <f>IF(W53="Freilos","Freilos",IF(W53="","Spieler 51",W53))</f>
        <v>Spieler 51</v>
      </c>
      <c r="F12" s="79"/>
      <c r="G12" s="80"/>
      <c r="H12" s="80"/>
      <c r="I12" s="80"/>
      <c r="J12" s="80"/>
      <c r="K12" s="81"/>
      <c r="L12" s="217"/>
      <c r="M12" s="86"/>
      <c r="N12" s="64">
        <f t="shared" si="0"/>
        <v>0</v>
      </c>
      <c r="O12" s="64">
        <f t="shared" si="1"/>
        <v>0</v>
      </c>
      <c r="P12" s="64">
        <f t="shared" si="8"/>
        <v>0</v>
      </c>
      <c r="Q12" s="64">
        <f t="shared" si="9"/>
        <v>0</v>
      </c>
      <c r="R12" s="64">
        <f t="shared" si="10"/>
        <v>0</v>
      </c>
      <c r="S12" s="64">
        <f t="shared" si="11"/>
        <v>0</v>
      </c>
      <c r="T12" s="178">
        <f t="shared" si="2"/>
        <v>0</v>
      </c>
      <c r="U12" s="178">
        <f t="shared" si="12"/>
        <v>0</v>
      </c>
      <c r="V12" s="64">
        <v>10</v>
      </c>
      <c r="W12" s="64" t="str">
        <f>IF(Auslosung_Turnierdaten!F18="","Spieler 10",Auslosung_Turnierdaten!F18)</f>
        <v>Spieler 10</v>
      </c>
      <c r="X12" s="64">
        <f t="shared" si="3"/>
        <v>0</v>
      </c>
      <c r="Y12" s="64">
        <f t="shared" si="4"/>
        <v>0</v>
      </c>
      <c r="Z12" s="64">
        <f t="shared" si="5"/>
        <v>0</v>
      </c>
      <c r="AA12" s="64">
        <f t="shared" si="13"/>
        <v>0</v>
      </c>
      <c r="AB12" s="64">
        <f t="shared" si="6"/>
        <v>0</v>
      </c>
      <c r="AC12" s="64">
        <f t="shared" si="14"/>
        <v>0</v>
      </c>
      <c r="AD12" s="64">
        <f t="shared" si="15"/>
        <v>0</v>
      </c>
      <c r="AE12" s="179">
        <f t="shared" si="16"/>
        <v>0</v>
      </c>
      <c r="AF12" s="64">
        <f t="shared" si="17"/>
        <v>0</v>
      </c>
      <c r="AG12" s="179">
        <f t="shared" si="18"/>
        <v>0</v>
      </c>
      <c r="AH12" s="179">
        <f t="shared" si="7"/>
        <v>0</v>
      </c>
      <c r="AI12" s="64">
        <f t="shared" si="19"/>
        <v>0</v>
      </c>
      <c r="AJ12" s="64">
        <f t="shared" si="20"/>
        <v>0</v>
      </c>
      <c r="AK12" s="64">
        <f t="shared" si="21"/>
        <v>0</v>
      </c>
      <c r="AL12" s="64">
        <f t="shared" si="22"/>
        <v>0</v>
      </c>
      <c r="AM12" s="180"/>
      <c r="AN12" s="181"/>
      <c r="AO12" s="182"/>
      <c r="AP12" s="64">
        <f t="shared" si="23"/>
        <v>0</v>
      </c>
      <c r="AQ12" s="64">
        <f>IF(AND(COUNTIF(L12:L12:$L$129,L12)=1,F12+G12&gt;0),L12&amp;"-","")</f>
      </c>
      <c r="AR12" s="64">
        <f t="shared" si="24"/>
      </c>
      <c r="AS12" s="202"/>
      <c r="AT12" s="202"/>
      <c r="AU12" s="203">
        <f t="shared" si="25"/>
      </c>
      <c r="AV12" s="64" t="str">
        <f>IF(Auslosung_Turnierdaten!L18="","öüä",Auslosung_Turnierdaten!L18)</f>
        <v>öüä</v>
      </c>
      <c r="AW12" s="64">
        <f t="shared" si="26"/>
        <v>0</v>
      </c>
    </row>
    <row r="13" spans="3:49" ht="10.5">
      <c r="C13" s="70">
        <v>11</v>
      </c>
      <c r="D13" s="77" t="str">
        <f>IF(W13="Freilos","Freilos",IF(W13="","Spieler 11",W13))</f>
        <v>Spieler 11</v>
      </c>
      <c r="E13" s="78" t="str">
        <f>IF(W45="Freilos","Freilos",IF(W45="","Spieler 43",W45))</f>
        <v>Spieler 43</v>
      </c>
      <c r="F13" s="79"/>
      <c r="G13" s="80"/>
      <c r="H13" s="80"/>
      <c r="I13" s="80"/>
      <c r="J13" s="80"/>
      <c r="K13" s="81"/>
      <c r="L13" s="217"/>
      <c r="M13" s="86"/>
      <c r="N13" s="64">
        <f t="shared" si="0"/>
        <v>0</v>
      </c>
      <c r="O13" s="64">
        <f t="shared" si="1"/>
        <v>0</v>
      </c>
      <c r="P13" s="64">
        <f t="shared" si="8"/>
        <v>0</v>
      </c>
      <c r="Q13" s="64">
        <f t="shared" si="9"/>
        <v>0</v>
      </c>
      <c r="R13" s="64">
        <f t="shared" si="10"/>
        <v>0</v>
      </c>
      <c r="S13" s="64">
        <f t="shared" si="11"/>
        <v>0</v>
      </c>
      <c r="T13" s="178">
        <f t="shared" si="2"/>
        <v>0</v>
      </c>
      <c r="U13" s="178">
        <f t="shared" si="12"/>
        <v>0</v>
      </c>
      <c r="V13" s="64">
        <v>11</v>
      </c>
      <c r="W13" s="64" t="str">
        <f>IF(Auslosung_Turnierdaten!F19="","Spieler 11",Auslosung_Turnierdaten!F19)</f>
        <v>Spieler 11</v>
      </c>
      <c r="X13" s="64">
        <f t="shared" si="3"/>
        <v>0</v>
      </c>
      <c r="Y13" s="64">
        <f t="shared" si="4"/>
        <v>0</v>
      </c>
      <c r="Z13" s="64">
        <f t="shared" si="5"/>
        <v>0</v>
      </c>
      <c r="AA13" s="64">
        <f t="shared" si="13"/>
        <v>0</v>
      </c>
      <c r="AB13" s="64">
        <f t="shared" si="6"/>
        <v>0</v>
      </c>
      <c r="AC13" s="64">
        <f t="shared" si="14"/>
        <v>0</v>
      </c>
      <c r="AD13" s="64">
        <f t="shared" si="15"/>
        <v>0</v>
      </c>
      <c r="AE13" s="179">
        <f t="shared" si="16"/>
        <v>0</v>
      </c>
      <c r="AF13" s="64">
        <f t="shared" si="17"/>
        <v>0</v>
      </c>
      <c r="AG13" s="179">
        <f t="shared" si="18"/>
        <v>0</v>
      </c>
      <c r="AH13" s="179">
        <f t="shared" si="7"/>
        <v>0</v>
      </c>
      <c r="AI13" s="64">
        <f t="shared" si="19"/>
        <v>0</v>
      </c>
      <c r="AJ13" s="64">
        <f t="shared" si="20"/>
        <v>0</v>
      </c>
      <c r="AK13" s="64">
        <f t="shared" si="21"/>
        <v>0</v>
      </c>
      <c r="AL13" s="64">
        <f t="shared" si="22"/>
        <v>0</v>
      </c>
      <c r="AM13" s="180"/>
      <c r="AN13" s="181"/>
      <c r="AO13" s="182"/>
      <c r="AP13" s="64">
        <f t="shared" si="23"/>
        <v>0</v>
      </c>
      <c r="AQ13" s="64">
        <f>IF(AND(COUNTIF(L13:L13:$L$129,L13)=1,F13+G13&gt;0),L13&amp;"-","")</f>
      </c>
      <c r="AR13" s="64">
        <f t="shared" si="24"/>
      </c>
      <c r="AS13" s="202"/>
      <c r="AT13" s="202"/>
      <c r="AU13" s="203">
        <f t="shared" si="25"/>
      </c>
      <c r="AV13" s="64" t="str">
        <f>IF(Auslosung_Turnierdaten!L19="","öüä",Auslosung_Turnierdaten!L19)</f>
        <v>öüä</v>
      </c>
      <c r="AW13" s="64">
        <f t="shared" si="26"/>
        <v>0</v>
      </c>
    </row>
    <row r="14" spans="3:49" ht="10.5">
      <c r="C14" s="70">
        <v>12</v>
      </c>
      <c r="D14" s="77" t="str">
        <f>IF(W29="Freilos","Freilos",IF(W29="","Spieler 27",W29))</f>
        <v>Spieler 27</v>
      </c>
      <c r="E14" s="78" t="str">
        <f>IF(W61="Freilos","Freilos",IF(W61="","Spieler 59",W61))</f>
        <v>Spieler 59</v>
      </c>
      <c r="F14" s="79"/>
      <c r="G14" s="80"/>
      <c r="H14" s="80"/>
      <c r="I14" s="80"/>
      <c r="J14" s="80"/>
      <c r="K14" s="81"/>
      <c r="L14" s="217"/>
      <c r="M14" s="86"/>
      <c r="N14" s="64">
        <f t="shared" si="0"/>
        <v>0</v>
      </c>
      <c r="O14" s="64">
        <f t="shared" si="1"/>
        <v>0</v>
      </c>
      <c r="P14" s="64">
        <f t="shared" si="8"/>
        <v>0</v>
      </c>
      <c r="Q14" s="64">
        <f t="shared" si="9"/>
        <v>0</v>
      </c>
      <c r="R14" s="64">
        <f t="shared" si="10"/>
        <v>0</v>
      </c>
      <c r="S14" s="64">
        <f t="shared" si="11"/>
        <v>0</v>
      </c>
      <c r="T14" s="178">
        <f t="shared" si="2"/>
        <v>0</v>
      </c>
      <c r="U14" s="178">
        <f t="shared" si="12"/>
        <v>0</v>
      </c>
      <c r="V14" s="64">
        <v>12</v>
      </c>
      <c r="W14" s="64" t="str">
        <f>IF(Auslosung_Turnierdaten!F20="","Spieler 12",Auslosung_Turnierdaten!F20)</f>
        <v>Spieler 12</v>
      </c>
      <c r="X14" s="64">
        <f t="shared" si="3"/>
        <v>0</v>
      </c>
      <c r="Y14" s="64">
        <f t="shared" si="4"/>
        <v>0</v>
      </c>
      <c r="Z14" s="64">
        <f t="shared" si="5"/>
        <v>0</v>
      </c>
      <c r="AA14" s="64">
        <f t="shared" si="13"/>
        <v>0</v>
      </c>
      <c r="AB14" s="64">
        <f t="shared" si="6"/>
        <v>0</v>
      </c>
      <c r="AC14" s="64">
        <f t="shared" si="14"/>
        <v>0</v>
      </c>
      <c r="AD14" s="64">
        <f t="shared" si="15"/>
        <v>0</v>
      </c>
      <c r="AE14" s="179">
        <f t="shared" si="16"/>
        <v>0</v>
      </c>
      <c r="AF14" s="64">
        <f t="shared" si="17"/>
        <v>0</v>
      </c>
      <c r="AG14" s="179">
        <f t="shared" si="18"/>
        <v>0</v>
      </c>
      <c r="AH14" s="179">
        <f t="shared" si="7"/>
        <v>0</v>
      </c>
      <c r="AI14" s="64">
        <f t="shared" si="19"/>
        <v>0</v>
      </c>
      <c r="AJ14" s="64">
        <f t="shared" si="20"/>
        <v>0</v>
      </c>
      <c r="AK14" s="64">
        <f t="shared" si="21"/>
        <v>0</v>
      </c>
      <c r="AL14" s="64">
        <f t="shared" si="22"/>
        <v>0</v>
      </c>
      <c r="AM14" s="180"/>
      <c r="AN14" s="181"/>
      <c r="AO14" s="182"/>
      <c r="AP14" s="64">
        <f t="shared" si="23"/>
        <v>0</v>
      </c>
      <c r="AQ14" s="64">
        <f>IF(AND(COUNTIF(L14:L14:$L$129,L14)=1,F14+G14&gt;0),L14&amp;"-","")</f>
      </c>
      <c r="AR14" s="64">
        <f t="shared" si="24"/>
      </c>
      <c r="AS14" s="202"/>
      <c r="AT14" s="202"/>
      <c r="AU14" s="203">
        <f t="shared" si="25"/>
      </c>
      <c r="AV14" s="64" t="str">
        <f>IF(Auslosung_Turnierdaten!L20="","öüä",Auslosung_Turnierdaten!L20)</f>
        <v>öüä</v>
      </c>
      <c r="AW14" s="64">
        <f t="shared" si="26"/>
        <v>0</v>
      </c>
    </row>
    <row r="15" spans="3:49" ht="10.5">
      <c r="C15" s="70">
        <v>13</v>
      </c>
      <c r="D15" s="77" t="str">
        <f>IF(W9="Freilos","Freilos",IF(W9="","Spieler 7",W9))</f>
        <v>Spieler 7</v>
      </c>
      <c r="E15" s="78" t="str">
        <f>IF(W41="Freilos","Freilos",IF(W41="","Spieler 39",W41))</f>
        <v>Spieler 39</v>
      </c>
      <c r="F15" s="79"/>
      <c r="G15" s="80"/>
      <c r="H15" s="80"/>
      <c r="I15" s="80"/>
      <c r="J15" s="80"/>
      <c r="K15" s="81"/>
      <c r="L15" s="217"/>
      <c r="M15" s="86"/>
      <c r="N15" s="64">
        <f t="shared" si="0"/>
        <v>0</v>
      </c>
      <c r="O15" s="64">
        <f t="shared" si="1"/>
        <v>0</v>
      </c>
      <c r="P15" s="64">
        <f t="shared" si="8"/>
        <v>0</v>
      </c>
      <c r="Q15" s="64">
        <f t="shared" si="9"/>
        <v>0</v>
      </c>
      <c r="R15" s="64">
        <f t="shared" si="10"/>
        <v>0</v>
      </c>
      <c r="S15" s="64">
        <f t="shared" si="11"/>
        <v>0</v>
      </c>
      <c r="T15" s="178">
        <f t="shared" si="2"/>
        <v>0</v>
      </c>
      <c r="U15" s="178">
        <f t="shared" si="12"/>
        <v>0</v>
      </c>
      <c r="V15" s="64">
        <v>13</v>
      </c>
      <c r="W15" s="64" t="str">
        <f>IF(Auslosung_Turnierdaten!F21="","Spieler 13",Auslosung_Turnierdaten!F21)</f>
        <v>Spieler 13</v>
      </c>
      <c r="X15" s="64">
        <f t="shared" si="3"/>
        <v>0</v>
      </c>
      <c r="Y15" s="64">
        <f t="shared" si="4"/>
        <v>0</v>
      </c>
      <c r="Z15" s="64">
        <f t="shared" si="5"/>
        <v>0</v>
      </c>
      <c r="AA15" s="64">
        <f t="shared" si="13"/>
        <v>0</v>
      </c>
      <c r="AB15" s="64">
        <f t="shared" si="6"/>
        <v>0</v>
      </c>
      <c r="AC15" s="64">
        <f t="shared" si="14"/>
        <v>0</v>
      </c>
      <c r="AD15" s="64">
        <f t="shared" si="15"/>
        <v>0</v>
      </c>
      <c r="AE15" s="179">
        <f t="shared" si="16"/>
        <v>0</v>
      </c>
      <c r="AF15" s="64">
        <f t="shared" si="17"/>
        <v>0</v>
      </c>
      <c r="AG15" s="179">
        <f t="shared" si="18"/>
        <v>0</v>
      </c>
      <c r="AH15" s="179">
        <f t="shared" si="7"/>
        <v>0</v>
      </c>
      <c r="AI15" s="64">
        <f t="shared" si="19"/>
        <v>0</v>
      </c>
      <c r="AJ15" s="64">
        <f t="shared" si="20"/>
        <v>0</v>
      </c>
      <c r="AK15" s="64">
        <f t="shared" si="21"/>
        <v>0</v>
      </c>
      <c r="AL15" s="64">
        <f t="shared" si="22"/>
        <v>0</v>
      </c>
      <c r="AM15" s="180"/>
      <c r="AN15" s="181"/>
      <c r="AO15" s="182"/>
      <c r="AP15" s="64">
        <f t="shared" si="23"/>
        <v>0</v>
      </c>
      <c r="AQ15" s="64">
        <f>IF(AND(COUNTIF(L15:L15:$L$129,L15)=1,F15+G15&gt;0),L15&amp;"-","")</f>
      </c>
      <c r="AR15" s="64">
        <f t="shared" si="24"/>
      </c>
      <c r="AS15" s="202"/>
      <c r="AT15" s="202"/>
      <c r="AU15" s="203">
        <f t="shared" si="25"/>
      </c>
      <c r="AV15" s="64" t="str">
        <f>IF(Auslosung_Turnierdaten!L21="","öüä",Auslosung_Turnierdaten!L21)</f>
        <v>öüä</v>
      </c>
      <c r="AW15" s="64">
        <f t="shared" si="26"/>
        <v>0</v>
      </c>
    </row>
    <row r="16" spans="3:49" ht="10.5">
      <c r="C16" s="70">
        <v>14</v>
      </c>
      <c r="D16" s="77" t="str">
        <f>IF(W25="Freilos","Freilos",IF(W25="","Spieler 23",W25))</f>
        <v>Spieler 23</v>
      </c>
      <c r="E16" s="78" t="str">
        <f>IF(W57="Freilos","Freilos",IF(W57="","Spieler 55",W57))</f>
        <v>Spieler 55</v>
      </c>
      <c r="F16" s="79"/>
      <c r="G16" s="80"/>
      <c r="H16" s="80"/>
      <c r="I16" s="80"/>
      <c r="J16" s="80"/>
      <c r="K16" s="81"/>
      <c r="L16" s="217"/>
      <c r="M16" s="86"/>
      <c r="N16" s="64">
        <f t="shared" si="0"/>
        <v>0</v>
      </c>
      <c r="O16" s="64">
        <f t="shared" si="1"/>
        <v>0</v>
      </c>
      <c r="P16" s="64">
        <f t="shared" si="8"/>
        <v>0</v>
      </c>
      <c r="Q16" s="64">
        <f t="shared" si="9"/>
        <v>0</v>
      </c>
      <c r="R16" s="64">
        <f t="shared" si="10"/>
        <v>0</v>
      </c>
      <c r="S16" s="64">
        <f t="shared" si="11"/>
        <v>0</v>
      </c>
      <c r="T16" s="178">
        <f t="shared" si="2"/>
        <v>0</v>
      </c>
      <c r="U16" s="178">
        <f t="shared" si="12"/>
        <v>0</v>
      </c>
      <c r="V16" s="64">
        <v>14</v>
      </c>
      <c r="W16" s="64" t="str">
        <f>IF(Auslosung_Turnierdaten!F22="","Spieler 14",Auslosung_Turnierdaten!F22)</f>
        <v>Spieler 14</v>
      </c>
      <c r="X16" s="64">
        <f t="shared" si="3"/>
        <v>0</v>
      </c>
      <c r="Y16" s="64">
        <f t="shared" si="4"/>
        <v>0</v>
      </c>
      <c r="Z16" s="64">
        <f t="shared" si="5"/>
        <v>0</v>
      </c>
      <c r="AA16" s="64">
        <f t="shared" si="13"/>
        <v>0</v>
      </c>
      <c r="AB16" s="64">
        <f t="shared" si="6"/>
        <v>0</v>
      </c>
      <c r="AC16" s="64">
        <f t="shared" si="14"/>
        <v>0</v>
      </c>
      <c r="AD16" s="64">
        <f t="shared" si="15"/>
        <v>0</v>
      </c>
      <c r="AE16" s="179">
        <f t="shared" si="16"/>
        <v>0</v>
      </c>
      <c r="AF16" s="64">
        <f t="shared" si="17"/>
        <v>0</v>
      </c>
      <c r="AG16" s="179">
        <f t="shared" si="18"/>
        <v>0</v>
      </c>
      <c r="AH16" s="179">
        <f t="shared" si="7"/>
        <v>0</v>
      </c>
      <c r="AI16" s="64">
        <f t="shared" si="19"/>
        <v>0</v>
      </c>
      <c r="AJ16" s="64">
        <f t="shared" si="20"/>
        <v>0</v>
      </c>
      <c r="AK16" s="64">
        <f t="shared" si="21"/>
        <v>0</v>
      </c>
      <c r="AL16" s="64">
        <f t="shared" si="22"/>
        <v>0</v>
      </c>
      <c r="AM16" s="180"/>
      <c r="AN16" s="181"/>
      <c r="AO16" s="182"/>
      <c r="AP16" s="64">
        <f t="shared" si="23"/>
        <v>0</v>
      </c>
      <c r="AQ16" s="64">
        <f>IF(AND(COUNTIF(L16:L16:$L$129,L16)=1,F16+G16&gt;0),L16&amp;"-","")</f>
      </c>
      <c r="AR16" s="64">
        <f t="shared" si="24"/>
      </c>
      <c r="AS16" s="202"/>
      <c r="AT16" s="202"/>
      <c r="AU16" s="203">
        <f t="shared" si="25"/>
      </c>
      <c r="AV16" s="64" t="str">
        <f>IF(Auslosung_Turnierdaten!L22="","öüä",Auslosung_Turnierdaten!L22)</f>
        <v>öüä</v>
      </c>
      <c r="AW16" s="64">
        <f t="shared" si="26"/>
        <v>0</v>
      </c>
    </row>
    <row r="17" spans="3:49" ht="10.5">
      <c r="C17" s="70">
        <v>15</v>
      </c>
      <c r="D17" s="77" t="str">
        <f>IF(W17="Freilos","Freilos",IF(W17="","Spieler 15",W17))</f>
        <v>Spieler 15</v>
      </c>
      <c r="E17" s="78" t="str">
        <f>IF(W49="Freilos","Freilos",IF(W49="","Spieler 47",W49))</f>
        <v>Spieler 47</v>
      </c>
      <c r="F17" s="79"/>
      <c r="G17" s="80"/>
      <c r="H17" s="80"/>
      <c r="I17" s="80"/>
      <c r="J17" s="80"/>
      <c r="K17" s="81"/>
      <c r="L17" s="217"/>
      <c r="N17" s="64">
        <f t="shared" si="0"/>
        <v>0</v>
      </c>
      <c r="O17" s="64">
        <f t="shared" si="1"/>
        <v>0</v>
      </c>
      <c r="P17" s="64">
        <f t="shared" si="8"/>
        <v>0</v>
      </c>
      <c r="Q17" s="64">
        <f t="shared" si="9"/>
        <v>0</v>
      </c>
      <c r="R17" s="64">
        <f t="shared" si="10"/>
        <v>0</v>
      </c>
      <c r="S17" s="64">
        <f t="shared" si="11"/>
        <v>0</v>
      </c>
      <c r="T17" s="178">
        <f t="shared" si="2"/>
        <v>0</v>
      </c>
      <c r="U17" s="178">
        <f t="shared" si="12"/>
        <v>0</v>
      </c>
      <c r="V17" s="64">
        <v>15</v>
      </c>
      <c r="W17" s="64" t="str">
        <f>IF(Auslosung_Turnierdaten!F23="","Spieler 15",Auslosung_Turnierdaten!F23)</f>
        <v>Spieler 15</v>
      </c>
      <c r="X17" s="64">
        <f t="shared" si="3"/>
        <v>0</v>
      </c>
      <c r="Y17" s="64">
        <f t="shared" si="4"/>
        <v>0</v>
      </c>
      <c r="Z17" s="64">
        <f t="shared" si="5"/>
        <v>0</v>
      </c>
      <c r="AA17" s="64">
        <f t="shared" si="13"/>
        <v>0</v>
      </c>
      <c r="AB17" s="64">
        <f t="shared" si="6"/>
        <v>0</v>
      </c>
      <c r="AC17" s="64">
        <f t="shared" si="14"/>
        <v>0</v>
      </c>
      <c r="AD17" s="64">
        <f t="shared" si="15"/>
        <v>0</v>
      </c>
      <c r="AE17" s="179">
        <f t="shared" si="16"/>
        <v>0</v>
      </c>
      <c r="AF17" s="64">
        <f t="shared" si="17"/>
        <v>0</v>
      </c>
      <c r="AG17" s="179">
        <f t="shared" si="18"/>
        <v>0</v>
      </c>
      <c r="AH17" s="179">
        <f t="shared" si="7"/>
        <v>0</v>
      </c>
      <c r="AI17" s="64">
        <f t="shared" si="19"/>
        <v>0</v>
      </c>
      <c r="AJ17" s="64">
        <f t="shared" si="20"/>
        <v>0</v>
      </c>
      <c r="AK17" s="64">
        <f t="shared" si="21"/>
        <v>0</v>
      </c>
      <c r="AL17" s="64">
        <f t="shared" si="22"/>
        <v>0</v>
      </c>
      <c r="AM17" s="180"/>
      <c r="AN17" s="181"/>
      <c r="AO17" s="182"/>
      <c r="AP17" s="64">
        <f t="shared" si="23"/>
        <v>0</v>
      </c>
      <c r="AQ17" s="64">
        <f>IF(AND(COUNTIF(L17:L17:$L$129,L17)=1,F17+G17&gt;0),L17&amp;"-","")</f>
      </c>
      <c r="AR17" s="64">
        <f t="shared" si="24"/>
      </c>
      <c r="AS17" s="202"/>
      <c r="AT17" s="202"/>
      <c r="AU17" s="203">
        <f t="shared" si="25"/>
      </c>
      <c r="AV17" s="64" t="str">
        <f>IF(Auslosung_Turnierdaten!L23="","öüä",Auslosung_Turnierdaten!L23)</f>
        <v>öüä</v>
      </c>
      <c r="AW17" s="64">
        <f t="shared" si="26"/>
        <v>0</v>
      </c>
    </row>
    <row r="18" spans="3:49" ht="10.5">
      <c r="C18" s="70">
        <v>16</v>
      </c>
      <c r="D18" s="77" t="str">
        <f>IF(W33="Freilos","Freilos",IF(W33="","Spieler 31",W33))</f>
        <v>Spieler 31</v>
      </c>
      <c r="E18" s="78" t="str">
        <f>IF(W65="Freilos","Freilos",IF(W65="","Spieler 63",W65))</f>
        <v>Spieler 63</v>
      </c>
      <c r="F18" s="79"/>
      <c r="G18" s="80"/>
      <c r="H18" s="80"/>
      <c r="I18" s="80"/>
      <c r="J18" s="80"/>
      <c r="K18" s="81"/>
      <c r="L18" s="217"/>
      <c r="N18" s="64">
        <f t="shared" si="0"/>
        <v>0</v>
      </c>
      <c r="O18" s="64">
        <f t="shared" si="1"/>
        <v>0</v>
      </c>
      <c r="P18" s="64">
        <f t="shared" si="8"/>
        <v>0</v>
      </c>
      <c r="Q18" s="64">
        <f t="shared" si="9"/>
        <v>0</v>
      </c>
      <c r="R18" s="64">
        <f t="shared" si="10"/>
        <v>0</v>
      </c>
      <c r="S18" s="64">
        <f t="shared" si="11"/>
        <v>0</v>
      </c>
      <c r="T18" s="178">
        <f t="shared" si="2"/>
        <v>0</v>
      </c>
      <c r="U18" s="178">
        <f t="shared" si="12"/>
        <v>0</v>
      </c>
      <c r="V18" s="64">
        <v>16</v>
      </c>
      <c r="W18" s="64" t="str">
        <f>IF(Auslosung_Turnierdaten!F24="","Spieler 16",Auslosung_Turnierdaten!F24)</f>
        <v>Spieler 16</v>
      </c>
      <c r="X18" s="64">
        <f t="shared" si="3"/>
        <v>0</v>
      </c>
      <c r="Y18" s="64">
        <f t="shared" si="4"/>
        <v>0</v>
      </c>
      <c r="Z18" s="64">
        <f t="shared" si="5"/>
        <v>0</v>
      </c>
      <c r="AA18" s="64">
        <f t="shared" si="13"/>
        <v>0</v>
      </c>
      <c r="AB18" s="64">
        <f t="shared" si="6"/>
        <v>0</v>
      </c>
      <c r="AC18" s="64">
        <f t="shared" si="14"/>
        <v>0</v>
      </c>
      <c r="AD18" s="64">
        <f t="shared" si="15"/>
        <v>0</v>
      </c>
      <c r="AE18" s="179">
        <f t="shared" si="16"/>
        <v>0</v>
      </c>
      <c r="AF18" s="64">
        <f t="shared" si="17"/>
        <v>0</v>
      </c>
      <c r="AG18" s="179">
        <f t="shared" si="18"/>
        <v>0</v>
      </c>
      <c r="AH18" s="179">
        <f t="shared" si="7"/>
        <v>0</v>
      </c>
      <c r="AI18" s="64">
        <f t="shared" si="19"/>
        <v>0</v>
      </c>
      <c r="AJ18" s="64">
        <f t="shared" si="20"/>
        <v>0</v>
      </c>
      <c r="AK18" s="64">
        <f t="shared" si="21"/>
        <v>0</v>
      </c>
      <c r="AL18" s="64">
        <f t="shared" si="22"/>
        <v>0</v>
      </c>
      <c r="AM18" s="180"/>
      <c r="AN18" s="181"/>
      <c r="AO18" s="182"/>
      <c r="AP18" s="64">
        <f t="shared" si="23"/>
        <v>0</v>
      </c>
      <c r="AQ18" s="64">
        <f>IF(AND(COUNTIF(L18:L18:$L$129,L18)=1,F18+G18&gt;0),L18&amp;"-","")</f>
      </c>
      <c r="AR18" s="64">
        <f t="shared" si="24"/>
      </c>
      <c r="AS18" s="202"/>
      <c r="AT18" s="202"/>
      <c r="AU18" s="203">
        <f t="shared" si="25"/>
      </c>
      <c r="AV18" s="64" t="str">
        <f>IF(Auslosung_Turnierdaten!L24="","öüä",Auslosung_Turnierdaten!L24)</f>
        <v>öüä</v>
      </c>
      <c r="AW18" s="64">
        <f t="shared" si="26"/>
        <v>0</v>
      </c>
    </row>
    <row r="19" spans="3:49" ht="10.5">
      <c r="C19" s="70">
        <v>17</v>
      </c>
      <c r="D19" s="77" t="str">
        <f>IF(W4="Freilos","Freilos",IF(W4="","Spieler 2",W4))</f>
        <v>Spieler 2</v>
      </c>
      <c r="E19" s="78" t="str">
        <f>IF(W36="Freilos","Freilos",IF(W36="","Spieler 34",W36))</f>
        <v>Spieler 34</v>
      </c>
      <c r="F19" s="79"/>
      <c r="G19" s="80"/>
      <c r="H19" s="80"/>
      <c r="I19" s="80"/>
      <c r="J19" s="80"/>
      <c r="K19" s="81"/>
      <c r="L19" s="217"/>
      <c r="M19" s="86"/>
      <c r="N19" s="64">
        <f t="shared" si="0"/>
        <v>0</v>
      </c>
      <c r="O19" s="64">
        <f t="shared" si="1"/>
        <v>0</v>
      </c>
      <c r="P19" s="64">
        <f t="shared" si="8"/>
        <v>0</v>
      </c>
      <c r="Q19" s="64">
        <f t="shared" si="9"/>
        <v>0</v>
      </c>
      <c r="R19" s="64">
        <f t="shared" si="10"/>
        <v>0</v>
      </c>
      <c r="S19" s="64">
        <f t="shared" si="11"/>
        <v>0</v>
      </c>
      <c r="T19" s="178">
        <f t="shared" si="2"/>
        <v>0</v>
      </c>
      <c r="U19" s="178">
        <f t="shared" si="12"/>
        <v>0</v>
      </c>
      <c r="V19" s="64">
        <v>17</v>
      </c>
      <c r="W19" s="64" t="str">
        <f>IF(Auslosung_Turnierdaten!F25="","Spieler 17",Auslosung_Turnierdaten!F25)</f>
        <v>Spieler 17</v>
      </c>
      <c r="X19" s="64">
        <f t="shared" si="3"/>
        <v>0</v>
      </c>
      <c r="Y19" s="64">
        <f t="shared" si="4"/>
        <v>0</v>
      </c>
      <c r="Z19" s="64">
        <f t="shared" si="5"/>
        <v>0</v>
      </c>
      <c r="AA19" s="64">
        <f t="shared" si="13"/>
        <v>0</v>
      </c>
      <c r="AB19" s="64">
        <f t="shared" si="6"/>
        <v>0</v>
      </c>
      <c r="AC19" s="64">
        <f t="shared" si="14"/>
        <v>0</v>
      </c>
      <c r="AD19" s="64">
        <f t="shared" si="15"/>
        <v>0</v>
      </c>
      <c r="AE19" s="179">
        <f t="shared" si="16"/>
        <v>0</v>
      </c>
      <c r="AF19" s="64">
        <f t="shared" si="17"/>
        <v>0</v>
      </c>
      <c r="AG19" s="179">
        <f t="shared" si="18"/>
        <v>0</v>
      </c>
      <c r="AH19" s="179">
        <f t="shared" si="7"/>
        <v>0</v>
      </c>
      <c r="AI19" s="64">
        <f t="shared" si="19"/>
        <v>0</v>
      </c>
      <c r="AJ19" s="64">
        <f t="shared" si="20"/>
        <v>0</v>
      </c>
      <c r="AK19" s="64">
        <f t="shared" si="21"/>
        <v>0</v>
      </c>
      <c r="AL19" s="64">
        <f t="shared" si="22"/>
        <v>0</v>
      </c>
      <c r="AM19" s="180"/>
      <c r="AN19" s="181"/>
      <c r="AO19" s="182"/>
      <c r="AP19" s="64">
        <f t="shared" si="23"/>
        <v>0</v>
      </c>
      <c r="AQ19" s="64">
        <f>IF(AND(COUNTIF(L19:L19:$L$129,L19)=1,F19+G19&gt;0),L19&amp;"-","")</f>
      </c>
      <c r="AR19" s="64">
        <f t="shared" si="24"/>
      </c>
      <c r="AS19" s="202"/>
      <c r="AT19" s="202"/>
      <c r="AU19" s="203">
        <f t="shared" si="25"/>
      </c>
      <c r="AV19" s="64" t="str">
        <f>IF(Auslosung_Turnierdaten!L25="","öüä",Auslosung_Turnierdaten!L25)</f>
        <v>öüä</v>
      </c>
      <c r="AW19" s="64">
        <f t="shared" si="26"/>
        <v>0</v>
      </c>
    </row>
    <row r="20" spans="3:49" ht="10.5">
      <c r="C20" s="70">
        <v>18</v>
      </c>
      <c r="D20" s="77" t="str">
        <f>IF(W20="Freilos","Freilos",IF(W20="","Spieler 18",W20))</f>
        <v>Spieler 18</v>
      </c>
      <c r="E20" s="78" t="str">
        <f>IF(W52="Freilos","Freilos",IF(W52="","Spieler 50",W52))</f>
        <v>Spieler 50</v>
      </c>
      <c r="F20" s="79"/>
      <c r="G20" s="80"/>
      <c r="H20" s="80"/>
      <c r="I20" s="80"/>
      <c r="J20" s="80"/>
      <c r="K20" s="81"/>
      <c r="L20" s="217"/>
      <c r="M20" s="86"/>
      <c r="N20" s="64">
        <f t="shared" si="0"/>
        <v>0</v>
      </c>
      <c r="O20" s="64">
        <f t="shared" si="1"/>
        <v>0</v>
      </c>
      <c r="P20" s="64">
        <f t="shared" si="8"/>
        <v>0</v>
      </c>
      <c r="Q20" s="64">
        <f t="shared" si="9"/>
        <v>0</v>
      </c>
      <c r="R20" s="64">
        <f t="shared" si="10"/>
        <v>0</v>
      </c>
      <c r="S20" s="64">
        <f t="shared" si="11"/>
        <v>0</v>
      </c>
      <c r="T20" s="178">
        <f t="shared" si="2"/>
        <v>0</v>
      </c>
      <c r="U20" s="178">
        <f t="shared" si="12"/>
        <v>0</v>
      </c>
      <c r="V20" s="64">
        <v>18</v>
      </c>
      <c r="W20" s="64" t="str">
        <f>IF(Auslosung_Turnierdaten!F26="","Spieler 18",Auslosung_Turnierdaten!F26)</f>
        <v>Spieler 18</v>
      </c>
      <c r="X20" s="64">
        <f t="shared" si="3"/>
        <v>0</v>
      </c>
      <c r="Y20" s="64">
        <f t="shared" si="4"/>
        <v>0</v>
      </c>
      <c r="Z20" s="64">
        <f t="shared" si="5"/>
        <v>0</v>
      </c>
      <c r="AA20" s="64">
        <f t="shared" si="13"/>
        <v>0</v>
      </c>
      <c r="AB20" s="64">
        <f t="shared" si="6"/>
        <v>0</v>
      </c>
      <c r="AC20" s="64">
        <f t="shared" si="14"/>
        <v>0</v>
      </c>
      <c r="AD20" s="64">
        <f t="shared" si="15"/>
        <v>0</v>
      </c>
      <c r="AE20" s="179">
        <f t="shared" si="16"/>
        <v>0</v>
      </c>
      <c r="AF20" s="64">
        <f t="shared" si="17"/>
        <v>0</v>
      </c>
      <c r="AG20" s="179">
        <f t="shared" si="18"/>
        <v>0</v>
      </c>
      <c r="AH20" s="179">
        <f t="shared" si="7"/>
        <v>0</v>
      </c>
      <c r="AI20" s="64">
        <f t="shared" si="19"/>
        <v>0</v>
      </c>
      <c r="AJ20" s="64">
        <f t="shared" si="20"/>
        <v>0</v>
      </c>
      <c r="AK20" s="64">
        <f t="shared" si="21"/>
        <v>0</v>
      </c>
      <c r="AL20" s="64">
        <f t="shared" si="22"/>
        <v>0</v>
      </c>
      <c r="AM20" s="180"/>
      <c r="AN20" s="181"/>
      <c r="AO20" s="182"/>
      <c r="AP20" s="64">
        <f t="shared" si="23"/>
        <v>0</v>
      </c>
      <c r="AQ20" s="64">
        <f>IF(AND(COUNTIF(L20:L20:$L$129,L20)=1,F20+G20&gt;0),L20&amp;"-","")</f>
      </c>
      <c r="AR20" s="64">
        <f t="shared" si="24"/>
      </c>
      <c r="AS20" s="202"/>
      <c r="AT20" s="202"/>
      <c r="AU20" s="203">
        <f t="shared" si="25"/>
      </c>
      <c r="AV20" s="64" t="str">
        <f>IF(Auslosung_Turnierdaten!L26="","öüä",Auslosung_Turnierdaten!L26)</f>
        <v>öüä</v>
      </c>
      <c r="AW20" s="64">
        <f t="shared" si="26"/>
        <v>0</v>
      </c>
    </row>
    <row r="21" spans="3:49" ht="10.5">
      <c r="C21" s="70">
        <v>19</v>
      </c>
      <c r="D21" s="77" t="str">
        <f>IF(W12="Freilos","Freilos",IF(W12="","Spieler 10",W12))</f>
        <v>Spieler 10</v>
      </c>
      <c r="E21" s="78" t="str">
        <f>IF(W44="Freilos","Freilos",IF(W44="","Spieler 42",W44))</f>
        <v>Spieler 42</v>
      </c>
      <c r="F21" s="79"/>
      <c r="G21" s="80"/>
      <c r="H21" s="80"/>
      <c r="I21" s="80"/>
      <c r="J21" s="80"/>
      <c r="K21" s="81"/>
      <c r="L21" s="217"/>
      <c r="M21" s="86"/>
      <c r="N21" s="64">
        <f t="shared" si="0"/>
        <v>0</v>
      </c>
      <c r="O21" s="64">
        <f t="shared" si="1"/>
        <v>0</v>
      </c>
      <c r="P21" s="64">
        <f t="shared" si="8"/>
        <v>0</v>
      </c>
      <c r="Q21" s="64">
        <f t="shared" si="9"/>
        <v>0</v>
      </c>
      <c r="R21" s="64">
        <f t="shared" si="10"/>
        <v>0</v>
      </c>
      <c r="S21" s="64">
        <f t="shared" si="11"/>
        <v>0</v>
      </c>
      <c r="T21" s="178">
        <f t="shared" si="2"/>
        <v>0</v>
      </c>
      <c r="U21" s="178">
        <f t="shared" si="12"/>
        <v>0</v>
      </c>
      <c r="V21" s="64">
        <v>19</v>
      </c>
      <c r="W21" s="64" t="str">
        <f>IF(Auslosung_Turnierdaten!F27="","Spieler 19",Auslosung_Turnierdaten!F27)</f>
        <v>Spieler 19</v>
      </c>
      <c r="X21" s="64">
        <f t="shared" si="3"/>
        <v>0</v>
      </c>
      <c r="Y21" s="64">
        <f t="shared" si="4"/>
        <v>0</v>
      </c>
      <c r="Z21" s="64">
        <f t="shared" si="5"/>
        <v>0</v>
      </c>
      <c r="AA21" s="64">
        <f t="shared" si="13"/>
        <v>0</v>
      </c>
      <c r="AB21" s="64">
        <f t="shared" si="6"/>
        <v>0</v>
      </c>
      <c r="AC21" s="64">
        <f t="shared" si="14"/>
        <v>0</v>
      </c>
      <c r="AD21" s="64">
        <f t="shared" si="15"/>
        <v>0</v>
      </c>
      <c r="AE21" s="179">
        <f t="shared" si="16"/>
        <v>0</v>
      </c>
      <c r="AF21" s="64">
        <f t="shared" si="17"/>
        <v>0</v>
      </c>
      <c r="AG21" s="179">
        <f t="shared" si="18"/>
        <v>0</v>
      </c>
      <c r="AH21" s="179">
        <f t="shared" si="7"/>
        <v>0</v>
      </c>
      <c r="AI21" s="64">
        <f t="shared" si="19"/>
        <v>0</v>
      </c>
      <c r="AJ21" s="64">
        <f t="shared" si="20"/>
        <v>0</v>
      </c>
      <c r="AK21" s="64">
        <f t="shared" si="21"/>
        <v>0</v>
      </c>
      <c r="AL21" s="64">
        <f t="shared" si="22"/>
        <v>0</v>
      </c>
      <c r="AM21" s="180"/>
      <c r="AN21" s="181"/>
      <c r="AO21" s="182"/>
      <c r="AP21" s="64">
        <f t="shared" si="23"/>
        <v>0</v>
      </c>
      <c r="AQ21" s="64">
        <f>IF(AND(COUNTIF(L21:L21:$L$129,L21)=1,F21+G21&gt;0),L21&amp;"-","")</f>
      </c>
      <c r="AR21" s="64">
        <f t="shared" si="24"/>
      </c>
      <c r="AS21" s="202"/>
      <c r="AT21" s="202"/>
      <c r="AU21" s="203">
        <f t="shared" si="25"/>
      </c>
      <c r="AV21" s="64" t="str">
        <f>IF(Auslosung_Turnierdaten!L27="","öüä",Auslosung_Turnierdaten!L27)</f>
        <v>öüä</v>
      </c>
      <c r="AW21" s="64">
        <f t="shared" si="26"/>
        <v>0</v>
      </c>
    </row>
    <row r="22" spans="3:49" ht="10.5">
      <c r="C22" s="70">
        <v>20</v>
      </c>
      <c r="D22" s="77" t="str">
        <f>IF(W28="Freilos","Freilos",IF(W28="","Spieler 26",W28))</f>
        <v>Spieler 26</v>
      </c>
      <c r="E22" s="78" t="str">
        <f>IF(W60="Freilos","Freilos",IF(W60="","Spieler 58",W60))</f>
        <v>Spieler 58</v>
      </c>
      <c r="F22" s="79"/>
      <c r="G22" s="80"/>
      <c r="H22" s="80"/>
      <c r="I22" s="80"/>
      <c r="J22" s="80"/>
      <c r="K22" s="81"/>
      <c r="L22" s="217"/>
      <c r="M22" s="86"/>
      <c r="N22" s="64">
        <f t="shared" si="0"/>
        <v>0</v>
      </c>
      <c r="O22" s="64">
        <f t="shared" si="1"/>
        <v>0</v>
      </c>
      <c r="P22" s="64">
        <f t="shared" si="8"/>
        <v>0</v>
      </c>
      <c r="Q22" s="64">
        <f t="shared" si="9"/>
        <v>0</v>
      </c>
      <c r="R22" s="64">
        <f t="shared" si="10"/>
        <v>0</v>
      </c>
      <c r="S22" s="64">
        <f t="shared" si="11"/>
        <v>0</v>
      </c>
      <c r="T22" s="178">
        <f t="shared" si="2"/>
        <v>0</v>
      </c>
      <c r="U22" s="178">
        <f t="shared" si="12"/>
        <v>0</v>
      </c>
      <c r="V22" s="64">
        <v>20</v>
      </c>
      <c r="W22" s="64" t="str">
        <f>IF(Auslosung_Turnierdaten!F28="","Spieler 20",Auslosung_Turnierdaten!F28)</f>
        <v>Spieler 20</v>
      </c>
      <c r="X22" s="64">
        <f t="shared" si="3"/>
        <v>0</v>
      </c>
      <c r="Y22" s="64">
        <f t="shared" si="4"/>
        <v>0</v>
      </c>
      <c r="Z22" s="64">
        <f t="shared" si="5"/>
        <v>0</v>
      </c>
      <c r="AA22" s="64">
        <f t="shared" si="13"/>
        <v>0</v>
      </c>
      <c r="AB22" s="64">
        <f t="shared" si="6"/>
        <v>0</v>
      </c>
      <c r="AC22" s="64">
        <f t="shared" si="14"/>
        <v>0</v>
      </c>
      <c r="AD22" s="64">
        <f t="shared" si="15"/>
        <v>0</v>
      </c>
      <c r="AE22" s="179">
        <f t="shared" si="16"/>
        <v>0</v>
      </c>
      <c r="AF22" s="64">
        <f t="shared" si="17"/>
        <v>0</v>
      </c>
      <c r="AG22" s="179">
        <f t="shared" si="18"/>
        <v>0</v>
      </c>
      <c r="AH22" s="179">
        <f t="shared" si="7"/>
        <v>0</v>
      </c>
      <c r="AI22" s="64">
        <f t="shared" si="19"/>
        <v>0</v>
      </c>
      <c r="AJ22" s="64">
        <f t="shared" si="20"/>
        <v>0</v>
      </c>
      <c r="AK22" s="64">
        <f t="shared" si="21"/>
        <v>0</v>
      </c>
      <c r="AL22" s="64">
        <f t="shared" si="22"/>
        <v>0</v>
      </c>
      <c r="AM22" s="180"/>
      <c r="AN22" s="181"/>
      <c r="AO22" s="182"/>
      <c r="AP22" s="64">
        <f t="shared" si="23"/>
        <v>0</v>
      </c>
      <c r="AQ22" s="64">
        <f>IF(AND(COUNTIF(L22:L22:$L$129,L22)=1,F22+G22&gt;0),L22&amp;"-","")</f>
      </c>
      <c r="AR22" s="64">
        <f t="shared" si="24"/>
      </c>
      <c r="AS22" s="202"/>
      <c r="AT22" s="202"/>
      <c r="AU22" s="203">
        <f t="shared" si="25"/>
      </c>
      <c r="AV22" s="64" t="str">
        <f>IF(Auslosung_Turnierdaten!L28="","öüä",Auslosung_Turnierdaten!L28)</f>
        <v>öüä</v>
      </c>
      <c r="AW22" s="64">
        <f t="shared" si="26"/>
        <v>0</v>
      </c>
    </row>
    <row r="23" spans="3:49" ht="10.5">
      <c r="C23" s="70">
        <v>21</v>
      </c>
      <c r="D23" s="77" t="str">
        <f>IF(W8="Freilos","Freilos",IF(W8="","Spieler 6",W8))</f>
        <v>Spieler 6</v>
      </c>
      <c r="E23" s="78" t="str">
        <f>IF(W40="Freilos","Freilos",IF(W40="","Spieler 38",W40))</f>
        <v>Spieler 38</v>
      </c>
      <c r="F23" s="79"/>
      <c r="G23" s="80"/>
      <c r="H23" s="80"/>
      <c r="I23" s="80"/>
      <c r="J23" s="80"/>
      <c r="K23" s="81"/>
      <c r="L23" s="217"/>
      <c r="M23" s="86"/>
      <c r="N23" s="64">
        <f t="shared" si="0"/>
        <v>0</v>
      </c>
      <c r="O23" s="64">
        <f t="shared" si="1"/>
        <v>0</v>
      </c>
      <c r="P23" s="64">
        <f t="shared" si="8"/>
        <v>0</v>
      </c>
      <c r="Q23" s="64">
        <f t="shared" si="9"/>
        <v>0</v>
      </c>
      <c r="R23" s="64">
        <f t="shared" si="10"/>
        <v>0</v>
      </c>
      <c r="S23" s="64">
        <f t="shared" si="11"/>
        <v>0</v>
      </c>
      <c r="T23" s="178">
        <f t="shared" si="2"/>
        <v>0</v>
      </c>
      <c r="U23" s="178">
        <f t="shared" si="12"/>
        <v>0</v>
      </c>
      <c r="V23" s="64">
        <v>21</v>
      </c>
      <c r="W23" s="64" t="str">
        <f>IF(Auslosung_Turnierdaten!F29="","Spieler 21",Auslosung_Turnierdaten!F29)</f>
        <v>Spieler 21</v>
      </c>
      <c r="X23" s="64">
        <f t="shared" si="3"/>
        <v>0</v>
      </c>
      <c r="Y23" s="64">
        <f t="shared" si="4"/>
        <v>0</v>
      </c>
      <c r="Z23" s="64">
        <f t="shared" si="5"/>
        <v>0</v>
      </c>
      <c r="AA23" s="64">
        <f t="shared" si="13"/>
        <v>0</v>
      </c>
      <c r="AB23" s="64">
        <f t="shared" si="6"/>
        <v>0</v>
      </c>
      <c r="AC23" s="64">
        <f t="shared" si="14"/>
        <v>0</v>
      </c>
      <c r="AD23" s="64">
        <f t="shared" si="15"/>
        <v>0</v>
      </c>
      <c r="AE23" s="179">
        <f t="shared" si="16"/>
        <v>0</v>
      </c>
      <c r="AF23" s="64">
        <f t="shared" si="17"/>
        <v>0</v>
      </c>
      <c r="AG23" s="179">
        <f t="shared" si="18"/>
        <v>0</v>
      </c>
      <c r="AH23" s="179">
        <f t="shared" si="7"/>
        <v>0</v>
      </c>
      <c r="AI23" s="64">
        <f t="shared" si="19"/>
        <v>0</v>
      </c>
      <c r="AJ23" s="64">
        <f t="shared" si="20"/>
        <v>0</v>
      </c>
      <c r="AK23" s="64">
        <f t="shared" si="21"/>
        <v>0</v>
      </c>
      <c r="AL23" s="64">
        <f t="shared" si="22"/>
        <v>0</v>
      </c>
      <c r="AM23" s="180"/>
      <c r="AN23" s="181"/>
      <c r="AO23" s="182"/>
      <c r="AP23" s="64">
        <f t="shared" si="23"/>
        <v>0</v>
      </c>
      <c r="AQ23" s="64">
        <f>IF(AND(COUNTIF(L23:L23:$L$129,L23)=1,F23+G23&gt;0),L23&amp;"-","")</f>
      </c>
      <c r="AR23" s="64">
        <f t="shared" si="24"/>
      </c>
      <c r="AS23" s="202"/>
      <c r="AT23" s="202"/>
      <c r="AU23" s="203">
        <f t="shared" si="25"/>
      </c>
      <c r="AV23" s="64" t="str">
        <f>IF(Auslosung_Turnierdaten!L29="","öüä",Auslosung_Turnierdaten!L29)</f>
        <v>öüä</v>
      </c>
      <c r="AW23" s="64">
        <f t="shared" si="26"/>
        <v>0</v>
      </c>
    </row>
    <row r="24" spans="3:49" ht="10.5">
      <c r="C24" s="70">
        <v>22</v>
      </c>
      <c r="D24" s="77" t="str">
        <f>IF(W24="Freilos","Freilos",IF(W24="","Spieler 22",W24))</f>
        <v>Spieler 22</v>
      </c>
      <c r="E24" s="78" t="str">
        <f>IF(W56="Freilos","Freilos",IF(W56="","Spieler 54",W56))</f>
        <v>Spieler 54</v>
      </c>
      <c r="F24" s="79"/>
      <c r="G24" s="80"/>
      <c r="H24" s="80"/>
      <c r="I24" s="80"/>
      <c r="J24" s="80"/>
      <c r="K24" s="81"/>
      <c r="L24" s="217"/>
      <c r="M24" s="86"/>
      <c r="N24" s="64">
        <f t="shared" si="0"/>
        <v>0</v>
      </c>
      <c r="O24" s="64">
        <f t="shared" si="1"/>
        <v>0</v>
      </c>
      <c r="P24" s="64">
        <f t="shared" si="8"/>
        <v>0</v>
      </c>
      <c r="Q24" s="64">
        <f t="shared" si="9"/>
        <v>0</v>
      </c>
      <c r="R24" s="64">
        <f t="shared" si="10"/>
        <v>0</v>
      </c>
      <c r="S24" s="64">
        <f t="shared" si="11"/>
        <v>0</v>
      </c>
      <c r="T24" s="178">
        <f t="shared" si="2"/>
        <v>0</v>
      </c>
      <c r="U24" s="178">
        <f t="shared" si="12"/>
        <v>0</v>
      </c>
      <c r="V24" s="64">
        <v>22</v>
      </c>
      <c r="W24" s="64" t="str">
        <f>IF(Auslosung_Turnierdaten!F30="","Spieler 22",Auslosung_Turnierdaten!F30)</f>
        <v>Spieler 22</v>
      </c>
      <c r="X24" s="64">
        <f t="shared" si="3"/>
        <v>0</v>
      </c>
      <c r="Y24" s="64">
        <f t="shared" si="4"/>
        <v>0</v>
      </c>
      <c r="Z24" s="64">
        <f t="shared" si="5"/>
        <v>0</v>
      </c>
      <c r="AA24" s="64">
        <f t="shared" si="13"/>
        <v>0</v>
      </c>
      <c r="AB24" s="64">
        <f t="shared" si="6"/>
        <v>0</v>
      </c>
      <c r="AC24" s="64">
        <f t="shared" si="14"/>
        <v>0</v>
      </c>
      <c r="AD24" s="64">
        <f t="shared" si="15"/>
        <v>0</v>
      </c>
      <c r="AE24" s="179">
        <f t="shared" si="16"/>
        <v>0</v>
      </c>
      <c r="AF24" s="64">
        <f t="shared" si="17"/>
        <v>0</v>
      </c>
      <c r="AG24" s="179">
        <f t="shared" si="18"/>
        <v>0</v>
      </c>
      <c r="AH24" s="179">
        <f t="shared" si="7"/>
        <v>0</v>
      </c>
      <c r="AI24" s="64">
        <f t="shared" si="19"/>
        <v>0</v>
      </c>
      <c r="AJ24" s="64">
        <f t="shared" si="20"/>
        <v>0</v>
      </c>
      <c r="AK24" s="64">
        <f t="shared" si="21"/>
        <v>0</v>
      </c>
      <c r="AL24" s="64">
        <f t="shared" si="22"/>
        <v>0</v>
      </c>
      <c r="AM24" s="180"/>
      <c r="AN24" s="181"/>
      <c r="AO24" s="182"/>
      <c r="AP24" s="64">
        <f t="shared" si="23"/>
        <v>0</v>
      </c>
      <c r="AQ24" s="64">
        <f>IF(AND(COUNTIF(L24:L24:$L$129,L24)=1,F24+G24&gt;0),L24&amp;"-","")</f>
      </c>
      <c r="AR24" s="64">
        <f t="shared" si="24"/>
      </c>
      <c r="AS24" s="202"/>
      <c r="AT24" s="202"/>
      <c r="AU24" s="203">
        <f t="shared" si="25"/>
      </c>
      <c r="AV24" s="64" t="str">
        <f>IF(Auslosung_Turnierdaten!L30="","öüä",Auslosung_Turnierdaten!L30)</f>
        <v>öüä</v>
      </c>
      <c r="AW24" s="64">
        <f t="shared" si="26"/>
        <v>0</v>
      </c>
    </row>
    <row r="25" spans="3:49" ht="10.5">
      <c r="C25" s="70">
        <v>23</v>
      </c>
      <c r="D25" s="77" t="str">
        <f>IF(W16="Freilos","Freilos",IF(W16="","Spieler 14",W16))</f>
        <v>Spieler 14</v>
      </c>
      <c r="E25" s="78" t="str">
        <f>IF(W48="Freilos","Freilos",IF(W48="","Spieler 46",W48))</f>
        <v>Spieler 46</v>
      </c>
      <c r="F25" s="79"/>
      <c r="G25" s="80"/>
      <c r="H25" s="80"/>
      <c r="I25" s="80"/>
      <c r="J25" s="80"/>
      <c r="K25" s="81"/>
      <c r="L25" s="217"/>
      <c r="M25" s="86"/>
      <c r="N25" s="64">
        <f t="shared" si="0"/>
        <v>0</v>
      </c>
      <c r="O25" s="64">
        <f t="shared" si="1"/>
        <v>0</v>
      </c>
      <c r="P25" s="64">
        <f t="shared" si="8"/>
        <v>0</v>
      </c>
      <c r="Q25" s="64">
        <f t="shared" si="9"/>
        <v>0</v>
      </c>
      <c r="R25" s="64">
        <f t="shared" si="10"/>
        <v>0</v>
      </c>
      <c r="S25" s="64">
        <f t="shared" si="11"/>
        <v>0</v>
      </c>
      <c r="T25" s="178">
        <f t="shared" si="2"/>
        <v>0</v>
      </c>
      <c r="U25" s="178">
        <f t="shared" si="12"/>
        <v>0</v>
      </c>
      <c r="V25" s="64">
        <v>23</v>
      </c>
      <c r="W25" s="64" t="str">
        <f>IF(Auslosung_Turnierdaten!F31="","Spieler 23",Auslosung_Turnierdaten!F31)</f>
        <v>Spieler 23</v>
      </c>
      <c r="X25" s="64">
        <f t="shared" si="3"/>
        <v>0</v>
      </c>
      <c r="Y25" s="64">
        <f t="shared" si="4"/>
        <v>0</v>
      </c>
      <c r="Z25" s="64">
        <f t="shared" si="5"/>
        <v>0</v>
      </c>
      <c r="AA25" s="64">
        <f t="shared" si="13"/>
        <v>0</v>
      </c>
      <c r="AB25" s="64">
        <f t="shared" si="6"/>
        <v>0</v>
      </c>
      <c r="AC25" s="64">
        <f t="shared" si="14"/>
        <v>0</v>
      </c>
      <c r="AD25" s="64">
        <f t="shared" si="15"/>
        <v>0</v>
      </c>
      <c r="AE25" s="179">
        <f t="shared" si="16"/>
        <v>0</v>
      </c>
      <c r="AF25" s="64">
        <f t="shared" si="17"/>
        <v>0</v>
      </c>
      <c r="AG25" s="179">
        <f t="shared" si="18"/>
        <v>0</v>
      </c>
      <c r="AH25" s="179">
        <f t="shared" si="7"/>
        <v>0</v>
      </c>
      <c r="AI25" s="64">
        <f t="shared" si="19"/>
        <v>0</v>
      </c>
      <c r="AJ25" s="64">
        <f t="shared" si="20"/>
        <v>0</v>
      </c>
      <c r="AK25" s="64">
        <f t="shared" si="21"/>
        <v>0</v>
      </c>
      <c r="AL25" s="64">
        <f t="shared" si="22"/>
        <v>0</v>
      </c>
      <c r="AM25" s="180"/>
      <c r="AN25" s="181"/>
      <c r="AO25" s="182"/>
      <c r="AP25" s="64">
        <f t="shared" si="23"/>
        <v>0</v>
      </c>
      <c r="AQ25" s="64">
        <f>IF(AND(COUNTIF(L25:L25:$L$129,L25)=1,F25+G25&gt;0),L25&amp;"-","")</f>
      </c>
      <c r="AR25" s="64">
        <f t="shared" si="24"/>
      </c>
      <c r="AS25" s="202"/>
      <c r="AT25" s="202"/>
      <c r="AU25" s="203">
        <f t="shared" si="25"/>
      </c>
      <c r="AV25" s="64" t="str">
        <f>IF(Auslosung_Turnierdaten!L31="","öüä",Auslosung_Turnierdaten!L31)</f>
        <v>öüä</v>
      </c>
      <c r="AW25" s="64">
        <f t="shared" si="26"/>
        <v>0</v>
      </c>
    </row>
    <row r="26" spans="3:49" ht="10.5">
      <c r="C26" s="70">
        <v>24</v>
      </c>
      <c r="D26" s="77" t="str">
        <f>IF(W32="Freilos","Freilos",IF(W32="","Spieler 30",W32))</f>
        <v>Spieler 30</v>
      </c>
      <c r="E26" s="78" t="str">
        <f>IF(W64="Freilos","Freilos",IF(W64="","Spieler 62",W64))</f>
        <v>Spieler 62</v>
      </c>
      <c r="F26" s="79"/>
      <c r="G26" s="80"/>
      <c r="H26" s="80"/>
      <c r="I26" s="80"/>
      <c r="J26" s="80"/>
      <c r="K26" s="81"/>
      <c r="L26" s="217"/>
      <c r="M26" s="86"/>
      <c r="N26" s="64">
        <f t="shared" si="0"/>
        <v>0</v>
      </c>
      <c r="O26" s="64">
        <f t="shared" si="1"/>
        <v>0</v>
      </c>
      <c r="P26" s="64">
        <f t="shared" si="8"/>
        <v>0</v>
      </c>
      <c r="Q26" s="64">
        <f t="shared" si="9"/>
        <v>0</v>
      </c>
      <c r="R26" s="64">
        <f t="shared" si="10"/>
        <v>0</v>
      </c>
      <c r="S26" s="64">
        <f t="shared" si="11"/>
        <v>0</v>
      </c>
      <c r="T26" s="178">
        <f t="shared" si="2"/>
        <v>0</v>
      </c>
      <c r="U26" s="178">
        <f t="shared" si="12"/>
        <v>0</v>
      </c>
      <c r="V26" s="64">
        <v>24</v>
      </c>
      <c r="W26" s="64" t="str">
        <f>IF(Auslosung_Turnierdaten!F32="","Spieler 24",Auslosung_Turnierdaten!F32)</f>
        <v>Spieler 24</v>
      </c>
      <c r="X26" s="64">
        <f t="shared" si="3"/>
        <v>0</v>
      </c>
      <c r="Y26" s="64">
        <f t="shared" si="4"/>
        <v>0</v>
      </c>
      <c r="Z26" s="64">
        <f t="shared" si="5"/>
        <v>0</v>
      </c>
      <c r="AA26" s="64">
        <f t="shared" si="13"/>
        <v>0</v>
      </c>
      <c r="AB26" s="64">
        <f t="shared" si="6"/>
        <v>0</v>
      </c>
      <c r="AC26" s="64">
        <f t="shared" si="14"/>
        <v>0</v>
      </c>
      <c r="AD26" s="64">
        <f t="shared" si="15"/>
        <v>0</v>
      </c>
      <c r="AE26" s="179">
        <f t="shared" si="16"/>
        <v>0</v>
      </c>
      <c r="AF26" s="64">
        <f t="shared" si="17"/>
        <v>0</v>
      </c>
      <c r="AG26" s="179">
        <f t="shared" si="18"/>
        <v>0</v>
      </c>
      <c r="AH26" s="179">
        <f t="shared" si="7"/>
        <v>0</v>
      </c>
      <c r="AI26" s="64">
        <f t="shared" si="19"/>
        <v>0</v>
      </c>
      <c r="AJ26" s="64">
        <f t="shared" si="20"/>
        <v>0</v>
      </c>
      <c r="AK26" s="64">
        <f t="shared" si="21"/>
        <v>0</v>
      </c>
      <c r="AL26" s="64">
        <f t="shared" si="22"/>
        <v>0</v>
      </c>
      <c r="AM26" s="180"/>
      <c r="AN26" s="181"/>
      <c r="AO26" s="182"/>
      <c r="AP26" s="64">
        <f t="shared" si="23"/>
        <v>0</v>
      </c>
      <c r="AQ26" s="64">
        <f>IF(AND(COUNTIF(L26:L26:$L$129,L26)=1,F26+G26&gt;0),L26&amp;"-","")</f>
      </c>
      <c r="AR26" s="64">
        <f t="shared" si="24"/>
      </c>
      <c r="AS26" s="202"/>
      <c r="AT26" s="202"/>
      <c r="AU26" s="203">
        <f t="shared" si="25"/>
      </c>
      <c r="AV26" s="64" t="str">
        <f>IF(Auslosung_Turnierdaten!L32="","öüä",Auslosung_Turnierdaten!L32)</f>
        <v>öüä</v>
      </c>
      <c r="AW26" s="64">
        <f t="shared" si="26"/>
        <v>0</v>
      </c>
    </row>
    <row r="27" spans="3:49" ht="10.5">
      <c r="C27" s="70">
        <v>25</v>
      </c>
      <c r="D27" s="77" t="str">
        <f>IF(W6="Freilos","Freilos",IF(W6="","Spieler 4",W6))</f>
        <v>Spieler 4</v>
      </c>
      <c r="E27" s="78" t="str">
        <f>IF(W38="Freilos","Freilos",IF(W38="","Spieler 36",W38))</f>
        <v>Spieler 36</v>
      </c>
      <c r="F27" s="79"/>
      <c r="G27" s="80"/>
      <c r="H27" s="80"/>
      <c r="I27" s="80"/>
      <c r="J27" s="80"/>
      <c r="K27" s="81"/>
      <c r="L27" s="217"/>
      <c r="M27" s="86"/>
      <c r="N27" s="64">
        <f t="shared" si="0"/>
        <v>0</v>
      </c>
      <c r="O27" s="64">
        <f t="shared" si="1"/>
        <v>0</v>
      </c>
      <c r="P27" s="64">
        <f t="shared" si="8"/>
        <v>0</v>
      </c>
      <c r="Q27" s="64">
        <f t="shared" si="9"/>
        <v>0</v>
      </c>
      <c r="R27" s="64">
        <f t="shared" si="10"/>
        <v>0</v>
      </c>
      <c r="S27" s="64">
        <f t="shared" si="11"/>
        <v>0</v>
      </c>
      <c r="T27" s="178">
        <f t="shared" si="2"/>
        <v>0</v>
      </c>
      <c r="U27" s="178">
        <f t="shared" si="12"/>
        <v>0</v>
      </c>
      <c r="V27" s="64">
        <v>25</v>
      </c>
      <c r="W27" s="64" t="str">
        <f>IF(Auslosung_Turnierdaten!F33="","Spieler 25",Auslosung_Turnierdaten!F33)</f>
        <v>Spieler 25</v>
      </c>
      <c r="X27" s="64">
        <f t="shared" si="3"/>
        <v>0</v>
      </c>
      <c r="Y27" s="64">
        <f t="shared" si="4"/>
        <v>0</v>
      </c>
      <c r="Z27" s="64">
        <f t="shared" si="5"/>
        <v>0</v>
      </c>
      <c r="AA27" s="64">
        <f t="shared" si="13"/>
        <v>0</v>
      </c>
      <c r="AB27" s="64">
        <f t="shared" si="6"/>
        <v>0</v>
      </c>
      <c r="AC27" s="64">
        <f t="shared" si="14"/>
        <v>0</v>
      </c>
      <c r="AD27" s="64">
        <f t="shared" si="15"/>
        <v>0</v>
      </c>
      <c r="AE27" s="179">
        <f t="shared" si="16"/>
        <v>0</v>
      </c>
      <c r="AF27" s="64">
        <f t="shared" si="17"/>
        <v>0</v>
      </c>
      <c r="AG27" s="179">
        <f t="shared" si="18"/>
        <v>0</v>
      </c>
      <c r="AH27" s="179">
        <f t="shared" si="7"/>
        <v>0</v>
      </c>
      <c r="AI27" s="64">
        <f t="shared" si="19"/>
        <v>0</v>
      </c>
      <c r="AJ27" s="64">
        <f t="shared" si="20"/>
        <v>0</v>
      </c>
      <c r="AK27" s="64">
        <f t="shared" si="21"/>
        <v>0</v>
      </c>
      <c r="AL27" s="64">
        <f t="shared" si="22"/>
        <v>0</v>
      </c>
      <c r="AM27" s="180"/>
      <c r="AN27" s="181"/>
      <c r="AO27" s="182"/>
      <c r="AP27" s="64">
        <f t="shared" si="23"/>
        <v>0</v>
      </c>
      <c r="AQ27" s="64">
        <f>IF(AND(COUNTIF(L27:L27:$L$129,L27)=1,F27+G27&gt;0),L27&amp;"-","")</f>
      </c>
      <c r="AR27" s="64">
        <f t="shared" si="24"/>
      </c>
      <c r="AS27" s="202"/>
      <c r="AT27" s="202"/>
      <c r="AU27" s="203">
        <f t="shared" si="25"/>
      </c>
      <c r="AV27" s="64" t="str">
        <f>IF(Auslosung_Turnierdaten!L33="","öüä",Auslosung_Turnierdaten!L33)</f>
        <v>öüä</v>
      </c>
      <c r="AW27" s="64">
        <f t="shared" si="26"/>
        <v>0</v>
      </c>
    </row>
    <row r="28" spans="3:49" ht="10.5">
      <c r="C28" s="70">
        <v>26</v>
      </c>
      <c r="D28" s="77" t="str">
        <f>IF(W22="Freilos","Freilos",IF(W22="","Spieler 20",W22))</f>
        <v>Spieler 20</v>
      </c>
      <c r="E28" s="78" t="str">
        <f>IF(W54="Freilos","Freilos",IF(W54="","Spieler 52",W54))</f>
        <v>Spieler 52</v>
      </c>
      <c r="F28" s="79"/>
      <c r="G28" s="80"/>
      <c r="H28" s="80"/>
      <c r="I28" s="80"/>
      <c r="J28" s="80"/>
      <c r="K28" s="81"/>
      <c r="L28" s="217"/>
      <c r="M28" s="86"/>
      <c r="N28" s="64">
        <f t="shared" si="0"/>
        <v>0</v>
      </c>
      <c r="O28" s="64">
        <f t="shared" si="1"/>
        <v>0</v>
      </c>
      <c r="P28" s="64">
        <f t="shared" si="8"/>
        <v>0</v>
      </c>
      <c r="Q28" s="64">
        <f t="shared" si="9"/>
        <v>0</v>
      </c>
      <c r="R28" s="64">
        <f t="shared" si="10"/>
        <v>0</v>
      </c>
      <c r="S28" s="64">
        <f t="shared" si="11"/>
        <v>0</v>
      </c>
      <c r="T28" s="178">
        <f t="shared" si="2"/>
        <v>0</v>
      </c>
      <c r="U28" s="178">
        <f t="shared" si="12"/>
        <v>0</v>
      </c>
      <c r="V28" s="64">
        <v>26</v>
      </c>
      <c r="W28" s="64" t="str">
        <f>IF(Auslosung_Turnierdaten!F34="","Spieler 26",Auslosung_Turnierdaten!F34)</f>
        <v>Spieler 26</v>
      </c>
      <c r="X28" s="64">
        <f t="shared" si="3"/>
        <v>0</v>
      </c>
      <c r="Y28" s="64">
        <f t="shared" si="4"/>
        <v>0</v>
      </c>
      <c r="Z28" s="64">
        <f t="shared" si="5"/>
        <v>0</v>
      </c>
      <c r="AA28" s="64">
        <f t="shared" si="13"/>
        <v>0</v>
      </c>
      <c r="AB28" s="64">
        <f t="shared" si="6"/>
        <v>0</v>
      </c>
      <c r="AC28" s="64">
        <f t="shared" si="14"/>
        <v>0</v>
      </c>
      <c r="AD28" s="64">
        <f t="shared" si="15"/>
        <v>0</v>
      </c>
      <c r="AE28" s="179">
        <f t="shared" si="16"/>
        <v>0</v>
      </c>
      <c r="AF28" s="64">
        <f t="shared" si="17"/>
        <v>0</v>
      </c>
      <c r="AG28" s="179">
        <f t="shared" si="18"/>
        <v>0</v>
      </c>
      <c r="AH28" s="179">
        <f t="shared" si="7"/>
        <v>0</v>
      </c>
      <c r="AI28" s="64">
        <f t="shared" si="19"/>
        <v>0</v>
      </c>
      <c r="AJ28" s="64">
        <f t="shared" si="20"/>
        <v>0</v>
      </c>
      <c r="AK28" s="64">
        <f t="shared" si="21"/>
        <v>0</v>
      </c>
      <c r="AL28" s="64">
        <f t="shared" si="22"/>
        <v>0</v>
      </c>
      <c r="AM28" s="180"/>
      <c r="AN28" s="181"/>
      <c r="AO28" s="182"/>
      <c r="AP28" s="64">
        <f t="shared" si="23"/>
        <v>0</v>
      </c>
      <c r="AQ28" s="64">
        <f>IF(AND(COUNTIF(L28:L28:$L$129,L28)=1,F28+G28&gt;0),L28&amp;"-","")</f>
      </c>
      <c r="AR28" s="64">
        <f t="shared" si="24"/>
      </c>
      <c r="AS28" s="202"/>
      <c r="AT28" s="202"/>
      <c r="AU28" s="203">
        <f t="shared" si="25"/>
      </c>
      <c r="AV28" s="64" t="str">
        <f>IF(Auslosung_Turnierdaten!L34="","öüä",Auslosung_Turnierdaten!L34)</f>
        <v>öüä</v>
      </c>
      <c r="AW28" s="64">
        <f t="shared" si="26"/>
        <v>0</v>
      </c>
    </row>
    <row r="29" spans="3:49" ht="10.5">
      <c r="C29" s="70">
        <v>27</v>
      </c>
      <c r="D29" s="77" t="str">
        <f>IF(W14="Freilos","Freilos",IF(W14="","Spieler 12",W14))</f>
        <v>Spieler 12</v>
      </c>
      <c r="E29" s="78" t="str">
        <f>IF(W46="Freilos","Freilos",IF(W46="","Spieler 44",W46))</f>
        <v>Spieler 44</v>
      </c>
      <c r="F29" s="79"/>
      <c r="G29" s="80"/>
      <c r="H29" s="80"/>
      <c r="I29" s="80"/>
      <c r="J29" s="80"/>
      <c r="K29" s="81"/>
      <c r="L29" s="217"/>
      <c r="M29" s="86"/>
      <c r="N29" s="64">
        <f t="shared" si="0"/>
        <v>0</v>
      </c>
      <c r="O29" s="64">
        <f t="shared" si="1"/>
        <v>0</v>
      </c>
      <c r="P29" s="64">
        <f t="shared" si="8"/>
        <v>0</v>
      </c>
      <c r="Q29" s="64">
        <f t="shared" si="9"/>
        <v>0</v>
      </c>
      <c r="R29" s="64">
        <f t="shared" si="10"/>
        <v>0</v>
      </c>
      <c r="S29" s="64">
        <f t="shared" si="11"/>
        <v>0</v>
      </c>
      <c r="T29" s="178">
        <f t="shared" si="2"/>
        <v>0</v>
      </c>
      <c r="U29" s="178">
        <f t="shared" si="12"/>
        <v>0</v>
      </c>
      <c r="V29" s="64">
        <v>27</v>
      </c>
      <c r="W29" s="64" t="str">
        <f>IF(Auslosung_Turnierdaten!F35="","Spieler 27",Auslosung_Turnierdaten!F35)</f>
        <v>Spieler 27</v>
      </c>
      <c r="X29" s="64">
        <f t="shared" si="3"/>
        <v>0</v>
      </c>
      <c r="Y29" s="64">
        <f t="shared" si="4"/>
        <v>0</v>
      </c>
      <c r="Z29" s="64">
        <f t="shared" si="5"/>
        <v>0</v>
      </c>
      <c r="AA29" s="64">
        <f t="shared" si="13"/>
        <v>0</v>
      </c>
      <c r="AB29" s="64">
        <f t="shared" si="6"/>
        <v>0</v>
      </c>
      <c r="AC29" s="64">
        <f t="shared" si="14"/>
        <v>0</v>
      </c>
      <c r="AD29" s="64">
        <f t="shared" si="15"/>
        <v>0</v>
      </c>
      <c r="AE29" s="179">
        <f t="shared" si="16"/>
        <v>0</v>
      </c>
      <c r="AF29" s="64">
        <f t="shared" si="17"/>
        <v>0</v>
      </c>
      <c r="AG29" s="179">
        <f t="shared" si="18"/>
        <v>0</v>
      </c>
      <c r="AH29" s="179">
        <f t="shared" si="7"/>
        <v>0</v>
      </c>
      <c r="AI29" s="64">
        <f t="shared" si="19"/>
        <v>0</v>
      </c>
      <c r="AJ29" s="64">
        <f t="shared" si="20"/>
        <v>0</v>
      </c>
      <c r="AK29" s="64">
        <f t="shared" si="21"/>
        <v>0</v>
      </c>
      <c r="AL29" s="64">
        <f t="shared" si="22"/>
        <v>0</v>
      </c>
      <c r="AM29" s="180"/>
      <c r="AN29" s="181"/>
      <c r="AO29" s="182"/>
      <c r="AP29" s="64">
        <f t="shared" si="23"/>
        <v>0</v>
      </c>
      <c r="AQ29" s="64">
        <f>IF(AND(COUNTIF(L29:L29:$L$129,L29)=1,F29+G29&gt;0),L29&amp;"-","")</f>
      </c>
      <c r="AR29" s="64">
        <f t="shared" si="24"/>
      </c>
      <c r="AS29" s="202"/>
      <c r="AT29" s="202"/>
      <c r="AU29" s="203">
        <f t="shared" si="25"/>
      </c>
      <c r="AV29" s="64" t="str">
        <f>IF(Auslosung_Turnierdaten!L35="","öüä",Auslosung_Turnierdaten!L35)</f>
        <v>öüä</v>
      </c>
      <c r="AW29" s="64">
        <f t="shared" si="26"/>
        <v>0</v>
      </c>
    </row>
    <row r="30" spans="3:49" ht="10.5">
      <c r="C30" s="70">
        <v>28</v>
      </c>
      <c r="D30" s="77" t="str">
        <f>IF(W30="Freilos","Freilos",IF(W30="","Spieler 28",W30))</f>
        <v>Spieler 28</v>
      </c>
      <c r="E30" s="78" t="str">
        <f>IF(W62="Freilos","Freilos",IF(W62="","Spieler 60",W62))</f>
        <v>Spieler 60</v>
      </c>
      <c r="F30" s="79"/>
      <c r="G30" s="80"/>
      <c r="H30" s="80"/>
      <c r="I30" s="80"/>
      <c r="J30" s="80"/>
      <c r="K30" s="81"/>
      <c r="L30" s="217"/>
      <c r="M30" s="86"/>
      <c r="N30" s="64">
        <f t="shared" si="0"/>
        <v>0</v>
      </c>
      <c r="O30" s="64">
        <f t="shared" si="1"/>
        <v>0</v>
      </c>
      <c r="P30" s="64">
        <f t="shared" si="8"/>
        <v>0</v>
      </c>
      <c r="Q30" s="64">
        <f t="shared" si="9"/>
        <v>0</v>
      </c>
      <c r="R30" s="64">
        <f t="shared" si="10"/>
        <v>0</v>
      </c>
      <c r="S30" s="64">
        <f t="shared" si="11"/>
        <v>0</v>
      </c>
      <c r="T30" s="178">
        <f t="shared" si="2"/>
        <v>0</v>
      </c>
      <c r="U30" s="178">
        <f t="shared" si="12"/>
        <v>0</v>
      </c>
      <c r="V30" s="64">
        <v>28</v>
      </c>
      <c r="W30" s="64" t="str">
        <f>IF(Auslosung_Turnierdaten!F36="","Spieler 28",Auslosung_Turnierdaten!F36)</f>
        <v>Spieler 28</v>
      </c>
      <c r="X30" s="64">
        <f t="shared" si="3"/>
        <v>0</v>
      </c>
      <c r="Y30" s="64">
        <f t="shared" si="4"/>
        <v>0</v>
      </c>
      <c r="Z30" s="64">
        <f t="shared" si="5"/>
        <v>0</v>
      </c>
      <c r="AA30" s="64">
        <f t="shared" si="13"/>
        <v>0</v>
      </c>
      <c r="AB30" s="64">
        <f t="shared" si="6"/>
        <v>0</v>
      </c>
      <c r="AC30" s="64">
        <f t="shared" si="14"/>
        <v>0</v>
      </c>
      <c r="AD30" s="64">
        <f t="shared" si="15"/>
        <v>0</v>
      </c>
      <c r="AE30" s="179">
        <f t="shared" si="16"/>
        <v>0</v>
      </c>
      <c r="AF30" s="64">
        <f t="shared" si="17"/>
        <v>0</v>
      </c>
      <c r="AG30" s="179">
        <f t="shared" si="18"/>
        <v>0</v>
      </c>
      <c r="AH30" s="179">
        <f t="shared" si="7"/>
        <v>0</v>
      </c>
      <c r="AI30" s="64">
        <f t="shared" si="19"/>
        <v>0</v>
      </c>
      <c r="AJ30" s="64">
        <f t="shared" si="20"/>
        <v>0</v>
      </c>
      <c r="AK30" s="64">
        <f t="shared" si="21"/>
        <v>0</v>
      </c>
      <c r="AL30" s="64">
        <f t="shared" si="22"/>
        <v>0</v>
      </c>
      <c r="AM30" s="180"/>
      <c r="AN30" s="181"/>
      <c r="AO30" s="182"/>
      <c r="AP30" s="64">
        <f t="shared" si="23"/>
        <v>0</v>
      </c>
      <c r="AQ30" s="64">
        <f>IF(AND(COUNTIF(L30:L30:$L$129,L30)=1,F30+G30&gt;0),L30&amp;"-","")</f>
      </c>
      <c r="AR30" s="64">
        <f t="shared" si="24"/>
      </c>
      <c r="AS30" s="202"/>
      <c r="AT30" s="202"/>
      <c r="AU30" s="203">
        <f t="shared" si="25"/>
      </c>
      <c r="AV30" s="64" t="str">
        <f>IF(Auslosung_Turnierdaten!L36="","öüä",Auslosung_Turnierdaten!L36)</f>
        <v>öüä</v>
      </c>
      <c r="AW30" s="64">
        <f t="shared" si="26"/>
        <v>0</v>
      </c>
    </row>
    <row r="31" spans="3:49" ht="10.5">
      <c r="C31" s="70">
        <v>29</v>
      </c>
      <c r="D31" s="77" t="str">
        <f>IF(W10="Freilos","Freilos",IF(W10="","Spieler 8",W10))</f>
        <v>Spieler 8</v>
      </c>
      <c r="E31" s="78" t="str">
        <f>IF(W42="Freilos","Freilos",IF(W42="","Spieler 40",W42))</f>
        <v>Spieler 40</v>
      </c>
      <c r="F31" s="79"/>
      <c r="G31" s="80"/>
      <c r="H31" s="80"/>
      <c r="I31" s="80"/>
      <c r="J31" s="80"/>
      <c r="K31" s="81"/>
      <c r="L31" s="217"/>
      <c r="M31" s="86"/>
      <c r="N31" s="64">
        <f t="shared" si="0"/>
        <v>0</v>
      </c>
      <c r="O31" s="64">
        <f t="shared" si="1"/>
        <v>0</v>
      </c>
      <c r="P31" s="64">
        <f t="shared" si="8"/>
        <v>0</v>
      </c>
      <c r="Q31" s="64">
        <f t="shared" si="9"/>
        <v>0</v>
      </c>
      <c r="R31" s="64">
        <f t="shared" si="10"/>
        <v>0</v>
      </c>
      <c r="S31" s="64">
        <f t="shared" si="11"/>
        <v>0</v>
      </c>
      <c r="T31" s="178">
        <f t="shared" si="2"/>
        <v>0</v>
      </c>
      <c r="U31" s="178">
        <f t="shared" si="12"/>
        <v>0</v>
      </c>
      <c r="V31" s="64">
        <v>29</v>
      </c>
      <c r="W31" s="64" t="str">
        <f>IF(Auslosung_Turnierdaten!F37="","Spieler 29",Auslosung_Turnierdaten!F37)</f>
        <v>Spieler 29</v>
      </c>
      <c r="X31" s="64">
        <f t="shared" si="3"/>
        <v>0</v>
      </c>
      <c r="Y31" s="64">
        <f t="shared" si="4"/>
        <v>0</v>
      </c>
      <c r="Z31" s="64">
        <f t="shared" si="5"/>
        <v>0</v>
      </c>
      <c r="AA31" s="64">
        <f t="shared" si="13"/>
        <v>0</v>
      </c>
      <c r="AB31" s="64">
        <f t="shared" si="6"/>
        <v>0</v>
      </c>
      <c r="AC31" s="64">
        <f t="shared" si="14"/>
        <v>0</v>
      </c>
      <c r="AD31" s="64">
        <f t="shared" si="15"/>
        <v>0</v>
      </c>
      <c r="AE31" s="179">
        <f t="shared" si="16"/>
        <v>0</v>
      </c>
      <c r="AF31" s="64">
        <f t="shared" si="17"/>
        <v>0</v>
      </c>
      <c r="AG31" s="179">
        <f t="shared" si="18"/>
        <v>0</v>
      </c>
      <c r="AH31" s="179">
        <f t="shared" si="7"/>
        <v>0</v>
      </c>
      <c r="AI31" s="64">
        <f t="shared" si="19"/>
        <v>0</v>
      </c>
      <c r="AJ31" s="64">
        <f t="shared" si="20"/>
        <v>0</v>
      </c>
      <c r="AK31" s="64">
        <f t="shared" si="21"/>
        <v>0</v>
      </c>
      <c r="AL31" s="64">
        <f t="shared" si="22"/>
        <v>0</v>
      </c>
      <c r="AM31" s="180"/>
      <c r="AN31" s="181"/>
      <c r="AO31" s="182"/>
      <c r="AP31" s="64">
        <f t="shared" si="23"/>
        <v>0</v>
      </c>
      <c r="AQ31" s="64">
        <f>IF(AND(COUNTIF(L31:L31:$L$129,L31)=1,F31+G31&gt;0),L31&amp;"-","")</f>
      </c>
      <c r="AR31" s="64">
        <f t="shared" si="24"/>
      </c>
      <c r="AS31" s="202"/>
      <c r="AT31" s="202"/>
      <c r="AU31" s="203">
        <f t="shared" si="25"/>
      </c>
      <c r="AV31" s="64" t="str">
        <f>IF(Auslosung_Turnierdaten!L37="","öüä",Auslosung_Turnierdaten!L37)</f>
        <v>öüä</v>
      </c>
      <c r="AW31" s="64">
        <f t="shared" si="26"/>
        <v>0</v>
      </c>
    </row>
    <row r="32" spans="3:49" ht="10.5">
      <c r="C32" s="70">
        <v>30</v>
      </c>
      <c r="D32" s="77" t="str">
        <f>IF(W26="Freilos","Freilos",IF(W26="","Spieler 24",W26))</f>
        <v>Spieler 24</v>
      </c>
      <c r="E32" s="78" t="str">
        <f>IF(W58="Freilos","Freilos",IF(W58="","Spieler 56",W58))</f>
        <v>Spieler 56</v>
      </c>
      <c r="F32" s="79"/>
      <c r="G32" s="80"/>
      <c r="H32" s="80"/>
      <c r="I32" s="80"/>
      <c r="J32" s="80"/>
      <c r="K32" s="81"/>
      <c r="L32" s="217"/>
      <c r="M32" s="86"/>
      <c r="N32" s="64">
        <f t="shared" si="0"/>
        <v>0</v>
      </c>
      <c r="O32" s="64">
        <f t="shared" si="1"/>
        <v>0</v>
      </c>
      <c r="P32" s="64">
        <f t="shared" si="8"/>
        <v>0</v>
      </c>
      <c r="Q32" s="64">
        <f t="shared" si="9"/>
        <v>0</v>
      </c>
      <c r="R32" s="64">
        <f t="shared" si="10"/>
        <v>0</v>
      </c>
      <c r="S32" s="64">
        <f t="shared" si="11"/>
        <v>0</v>
      </c>
      <c r="T32" s="178">
        <f t="shared" si="2"/>
        <v>0</v>
      </c>
      <c r="U32" s="178">
        <f t="shared" si="12"/>
        <v>0</v>
      </c>
      <c r="V32" s="64">
        <v>30</v>
      </c>
      <c r="W32" s="64" t="str">
        <f>IF(Auslosung_Turnierdaten!F38="","Spieler 30",Auslosung_Turnierdaten!F38)</f>
        <v>Spieler 30</v>
      </c>
      <c r="X32" s="64">
        <f t="shared" si="3"/>
        <v>0</v>
      </c>
      <c r="Y32" s="64">
        <f t="shared" si="4"/>
        <v>0</v>
      </c>
      <c r="Z32" s="64">
        <f t="shared" si="5"/>
        <v>0</v>
      </c>
      <c r="AA32" s="64">
        <f t="shared" si="13"/>
        <v>0</v>
      </c>
      <c r="AB32" s="64">
        <f t="shared" si="6"/>
        <v>0</v>
      </c>
      <c r="AC32" s="64">
        <f t="shared" si="14"/>
        <v>0</v>
      </c>
      <c r="AD32" s="64">
        <f t="shared" si="15"/>
        <v>0</v>
      </c>
      <c r="AE32" s="179">
        <f t="shared" si="16"/>
        <v>0</v>
      </c>
      <c r="AF32" s="64">
        <f t="shared" si="17"/>
        <v>0</v>
      </c>
      <c r="AG32" s="179">
        <f t="shared" si="18"/>
        <v>0</v>
      </c>
      <c r="AH32" s="179">
        <f t="shared" si="7"/>
        <v>0</v>
      </c>
      <c r="AI32" s="64">
        <f t="shared" si="19"/>
        <v>0</v>
      </c>
      <c r="AJ32" s="64">
        <f t="shared" si="20"/>
        <v>0</v>
      </c>
      <c r="AK32" s="64">
        <f t="shared" si="21"/>
        <v>0</v>
      </c>
      <c r="AL32" s="64">
        <f t="shared" si="22"/>
        <v>0</v>
      </c>
      <c r="AM32" s="180"/>
      <c r="AN32" s="181"/>
      <c r="AO32" s="182"/>
      <c r="AP32" s="64">
        <f t="shared" si="23"/>
        <v>0</v>
      </c>
      <c r="AQ32" s="64">
        <f>IF(AND(COUNTIF(L32:L32:$L$129,L32)=1,F32+G32&gt;0),L32&amp;"-","")</f>
      </c>
      <c r="AR32" s="64">
        <f t="shared" si="24"/>
      </c>
      <c r="AS32" s="202"/>
      <c r="AT32" s="202"/>
      <c r="AU32" s="203">
        <f t="shared" si="25"/>
      </c>
      <c r="AV32" s="64" t="str">
        <f>IF(Auslosung_Turnierdaten!L38="","öüä",Auslosung_Turnierdaten!L38)</f>
        <v>öüä</v>
      </c>
      <c r="AW32" s="64">
        <f t="shared" si="26"/>
        <v>0</v>
      </c>
    </row>
    <row r="33" spans="3:49" ht="10.5">
      <c r="C33" s="70">
        <v>31</v>
      </c>
      <c r="D33" s="77" t="str">
        <f>IF(W18="Freilos","Freilos",IF(W18="","Spieler 16",W18))</f>
        <v>Spieler 16</v>
      </c>
      <c r="E33" s="78" t="str">
        <f>IF(W50="Freilos","Freilos",IF(W50="","Spieler 48",W50))</f>
        <v>Spieler 48</v>
      </c>
      <c r="F33" s="79"/>
      <c r="G33" s="80"/>
      <c r="H33" s="80"/>
      <c r="I33" s="80"/>
      <c r="J33" s="80"/>
      <c r="K33" s="81"/>
      <c r="L33" s="217"/>
      <c r="N33" s="64">
        <f t="shared" si="0"/>
        <v>0</v>
      </c>
      <c r="O33" s="64">
        <f t="shared" si="1"/>
        <v>0</v>
      </c>
      <c r="P33" s="64">
        <f t="shared" si="8"/>
        <v>0</v>
      </c>
      <c r="Q33" s="64">
        <f t="shared" si="9"/>
        <v>0</v>
      </c>
      <c r="R33" s="64">
        <f t="shared" si="10"/>
        <v>0</v>
      </c>
      <c r="S33" s="64">
        <f t="shared" si="11"/>
        <v>0</v>
      </c>
      <c r="T33" s="178">
        <f t="shared" si="2"/>
        <v>0</v>
      </c>
      <c r="U33" s="178">
        <f t="shared" si="12"/>
        <v>0</v>
      </c>
      <c r="V33" s="64">
        <v>31</v>
      </c>
      <c r="W33" s="64" t="str">
        <f>IF(Auslosung_Turnierdaten!F39="","Spieler 31",Auslosung_Turnierdaten!F39)</f>
        <v>Spieler 31</v>
      </c>
      <c r="X33" s="64">
        <f t="shared" si="3"/>
        <v>0</v>
      </c>
      <c r="Y33" s="64">
        <f t="shared" si="4"/>
        <v>0</v>
      </c>
      <c r="Z33" s="64">
        <f t="shared" si="5"/>
        <v>0</v>
      </c>
      <c r="AA33" s="64">
        <f t="shared" si="13"/>
        <v>0</v>
      </c>
      <c r="AB33" s="64">
        <f t="shared" si="6"/>
        <v>0</v>
      </c>
      <c r="AC33" s="64">
        <f t="shared" si="14"/>
        <v>0</v>
      </c>
      <c r="AD33" s="64">
        <f t="shared" si="15"/>
        <v>0</v>
      </c>
      <c r="AE33" s="179">
        <f t="shared" si="16"/>
        <v>0</v>
      </c>
      <c r="AF33" s="64">
        <f t="shared" si="17"/>
        <v>0</v>
      </c>
      <c r="AG33" s="179">
        <f t="shared" si="18"/>
        <v>0</v>
      </c>
      <c r="AH33" s="179">
        <f t="shared" si="7"/>
        <v>0</v>
      </c>
      <c r="AI33" s="64">
        <f t="shared" si="19"/>
        <v>0</v>
      </c>
      <c r="AJ33" s="64">
        <f t="shared" si="20"/>
        <v>0</v>
      </c>
      <c r="AK33" s="64">
        <f t="shared" si="21"/>
        <v>0</v>
      </c>
      <c r="AL33" s="64">
        <f t="shared" si="22"/>
        <v>0</v>
      </c>
      <c r="AM33" s="180"/>
      <c r="AN33" s="181"/>
      <c r="AO33" s="182"/>
      <c r="AP33" s="64">
        <f t="shared" si="23"/>
        <v>0</v>
      </c>
      <c r="AQ33" s="64">
        <f>IF(AND(COUNTIF(L33:L33:$L$129,L33)=1,F33+G33&gt;0),L33&amp;"-","")</f>
      </c>
      <c r="AR33" s="64">
        <f t="shared" si="24"/>
      </c>
      <c r="AS33" s="202"/>
      <c r="AT33" s="202"/>
      <c r="AU33" s="203">
        <f t="shared" si="25"/>
      </c>
      <c r="AV33" s="64" t="str">
        <f>IF(Auslosung_Turnierdaten!L39="","öüä",Auslosung_Turnierdaten!L39)</f>
        <v>öüä</v>
      </c>
      <c r="AW33" s="64">
        <f t="shared" si="26"/>
        <v>0</v>
      </c>
    </row>
    <row r="34" spans="3:49" ht="11.25" thickBot="1">
      <c r="C34" s="70">
        <v>32</v>
      </c>
      <c r="D34" s="82" t="str">
        <f>IF(W34="Freilos","Freilos",IF(W34="","Spieler 32",W34))</f>
        <v>Spieler 32</v>
      </c>
      <c r="E34" s="83" t="str">
        <f>IF(W66="Freilos","Freilos",IF(W66="","Spieler 64",W66))</f>
        <v>Spieler 64</v>
      </c>
      <c r="F34" s="79"/>
      <c r="G34" s="80"/>
      <c r="H34" s="84"/>
      <c r="I34" s="84"/>
      <c r="J34" s="84"/>
      <c r="K34" s="85"/>
      <c r="L34" s="217"/>
      <c r="N34" s="64">
        <f t="shared" si="0"/>
        <v>0</v>
      </c>
      <c r="O34" s="64">
        <f t="shared" si="1"/>
        <v>0</v>
      </c>
      <c r="P34" s="64">
        <f t="shared" si="8"/>
        <v>0</v>
      </c>
      <c r="Q34" s="64">
        <f t="shared" si="9"/>
        <v>0</v>
      </c>
      <c r="R34" s="64">
        <f t="shared" si="10"/>
        <v>0</v>
      </c>
      <c r="S34" s="64">
        <f t="shared" si="11"/>
        <v>0</v>
      </c>
      <c r="T34" s="178">
        <f t="shared" si="2"/>
        <v>0</v>
      </c>
      <c r="U34" s="178">
        <f t="shared" si="12"/>
        <v>0</v>
      </c>
      <c r="V34" s="64">
        <v>32</v>
      </c>
      <c r="W34" s="64" t="str">
        <f>IF(Auslosung_Turnierdaten!F40="","Spieler 32",Auslosung_Turnierdaten!F40)</f>
        <v>Spieler 32</v>
      </c>
      <c r="X34" s="64">
        <f t="shared" si="3"/>
        <v>0</v>
      </c>
      <c r="Y34" s="64">
        <f t="shared" si="4"/>
        <v>0</v>
      </c>
      <c r="Z34" s="64">
        <f t="shared" si="5"/>
        <v>0</v>
      </c>
      <c r="AA34" s="64">
        <f t="shared" si="13"/>
        <v>0</v>
      </c>
      <c r="AB34" s="64">
        <f t="shared" si="6"/>
        <v>0</v>
      </c>
      <c r="AC34" s="64">
        <f t="shared" si="14"/>
        <v>0</v>
      </c>
      <c r="AD34" s="64">
        <f t="shared" si="15"/>
        <v>0</v>
      </c>
      <c r="AE34" s="179">
        <f t="shared" si="16"/>
        <v>0</v>
      </c>
      <c r="AF34" s="64">
        <f t="shared" si="17"/>
        <v>0</v>
      </c>
      <c r="AG34" s="179">
        <f t="shared" si="18"/>
        <v>0</v>
      </c>
      <c r="AH34" s="179">
        <f t="shared" si="7"/>
        <v>0</v>
      </c>
      <c r="AI34" s="64">
        <f t="shared" si="19"/>
        <v>0</v>
      </c>
      <c r="AJ34" s="64">
        <f t="shared" si="20"/>
        <v>0</v>
      </c>
      <c r="AK34" s="64">
        <f t="shared" si="21"/>
        <v>0</v>
      </c>
      <c r="AL34" s="64">
        <f t="shared" si="22"/>
        <v>0</v>
      </c>
      <c r="AM34" s="180"/>
      <c r="AN34" s="181"/>
      <c r="AO34" s="182"/>
      <c r="AP34" s="64">
        <f t="shared" si="23"/>
        <v>0</v>
      </c>
      <c r="AQ34" s="64">
        <f>IF(AND(COUNTIF(L34:L34:$L$129,L34)=1,F34+G34&gt;0),L34&amp;"-","")</f>
      </c>
      <c r="AR34" s="64">
        <f t="shared" si="24"/>
      </c>
      <c r="AS34" s="202"/>
      <c r="AT34" s="202"/>
      <c r="AU34" s="203">
        <f t="shared" si="25"/>
      </c>
      <c r="AV34" s="64" t="str">
        <f>IF(Auslosung_Turnierdaten!L40="","öüä",Auslosung_Turnierdaten!L40)</f>
        <v>öüä</v>
      </c>
      <c r="AW34" s="64">
        <f t="shared" si="26"/>
        <v>0</v>
      </c>
    </row>
    <row r="35" spans="2:47" ht="11.25" thickBot="1">
      <c r="B35" s="87" t="s">
        <v>1062</v>
      </c>
      <c r="C35" s="70">
        <v>33</v>
      </c>
      <c r="D35" s="88" t="str">
        <f>IF(D3="Spieler 1","Verlierer 1",IF(E3="Spieler 33","Verlierer 1",IF(D3=E3,"Freilos",IF(E3="Freilos",E3,IF(D3="Freilos",D3,IF(F3&gt;G3,E3,IF(G3&gt;F3,D3,"Verlierer 1")))))))</f>
        <v>Verlierer 1</v>
      </c>
      <c r="E35" s="89" t="str">
        <f>IF(D4="Spieler 17","Verlierer 2",IF(E4="Spieler 49","Verlierer 2",IF(D4=E4,"Freilos",IF(E4="Freilos",E4,IF(D4="Freilos",D4,IF(F4&gt;G4,E4,IF(G4&gt;F4,D4,"Verlierer 2")))))))</f>
        <v>Verlierer 2</v>
      </c>
      <c r="F35" s="79"/>
      <c r="G35" s="80"/>
      <c r="H35" s="90"/>
      <c r="I35" s="90"/>
      <c r="J35" s="90"/>
      <c r="K35" s="91"/>
      <c r="L35" s="217"/>
      <c r="M35" s="92">
        <f aca="true" t="shared" si="27" ref="M35:M50">IF(F35&gt;G35,E35,IF(G35&gt;F35,D35,""))</f>
      </c>
      <c r="N35" s="64">
        <f t="shared" si="0"/>
        <v>0</v>
      </c>
      <c r="O35" s="64">
        <f t="shared" si="1"/>
        <v>0</v>
      </c>
      <c r="P35" s="64">
        <f t="shared" si="8"/>
        <v>0</v>
      </c>
      <c r="Q35" s="64">
        <f t="shared" si="9"/>
        <v>0</v>
      </c>
      <c r="R35" s="64">
        <f t="shared" si="10"/>
        <v>0</v>
      </c>
      <c r="S35" s="64">
        <f t="shared" si="11"/>
        <v>0</v>
      </c>
      <c r="T35" s="178">
        <f t="shared" si="2"/>
        <v>0</v>
      </c>
      <c r="U35" s="178">
        <f t="shared" si="12"/>
        <v>0</v>
      </c>
      <c r="V35" s="64">
        <v>33</v>
      </c>
      <c r="W35" s="64" t="str">
        <f>IF(Auslosung_Turnierdaten!F41="","Spieler 33",Auslosung_Turnierdaten!F41)</f>
        <v>Spieler 33</v>
      </c>
      <c r="X35" s="64">
        <f aca="true" t="shared" si="28" ref="X35:X66">IF(W35="Freilos",0,SUMIF($D$3:$E$129,W35,$T$3:$U$129))</f>
        <v>0</v>
      </c>
      <c r="Y35" s="64">
        <f aca="true" t="shared" si="29" ref="Y35:Y66">SUMIF($D$3:$E$129,W35,$P$3:$Q$129)</f>
        <v>0</v>
      </c>
      <c r="Z35" s="64">
        <f aca="true" t="shared" si="30" ref="Z35:Z66">SUMIF($D$3:$E$129,W35,$R$3:$S$129)</f>
        <v>0</v>
      </c>
      <c r="AA35" s="64">
        <f t="shared" si="13"/>
        <v>0</v>
      </c>
      <c r="AB35" s="64">
        <f aca="true" t="shared" si="31" ref="AB35:AB66">SUMIF($D$3:$E$129,W35,$N$3:$O$129)</f>
        <v>0</v>
      </c>
      <c r="AC35" s="64">
        <f t="shared" si="14"/>
        <v>0</v>
      </c>
      <c r="AD35" s="64">
        <f t="shared" si="15"/>
        <v>0</v>
      </c>
      <c r="AE35" s="179">
        <f t="shared" si="16"/>
        <v>0</v>
      </c>
      <c r="AF35" s="64">
        <f t="shared" si="17"/>
        <v>0</v>
      </c>
      <c r="AG35" s="179">
        <f t="shared" si="18"/>
        <v>0</v>
      </c>
      <c r="AH35" s="179">
        <f aca="true" t="shared" si="32" ref="AH35:AH66">MAX(AJ35:AL35)</f>
        <v>0</v>
      </c>
      <c r="AI35" s="64">
        <f t="shared" si="19"/>
        <v>0</v>
      </c>
      <c r="AJ35" s="64">
        <f t="shared" si="20"/>
        <v>0</v>
      </c>
      <c r="AK35" s="64">
        <f t="shared" si="21"/>
        <v>0</v>
      </c>
      <c r="AL35" s="64">
        <f t="shared" si="22"/>
        <v>0</v>
      </c>
      <c r="AM35" s="180"/>
      <c r="AN35" s="181"/>
      <c r="AO35" s="182"/>
      <c r="AP35" s="64">
        <f t="shared" si="23"/>
        <v>0</v>
      </c>
      <c r="AQ35" s="64">
        <f>IF(AND(COUNTIF(L35:L35:$L$129,L35)=1,F35+G35&gt;0),L35&amp;"-","")</f>
      </c>
      <c r="AR35" s="64">
        <f t="shared" si="24"/>
      </c>
      <c r="AS35" s="202"/>
      <c r="AT35" s="202"/>
      <c r="AU35" s="203">
        <f t="shared" si="25"/>
      </c>
    </row>
    <row r="36" spans="3:47" ht="10.5">
      <c r="C36" s="70">
        <v>34</v>
      </c>
      <c r="D36" s="93" t="str">
        <f>IF(D5="Spieler 9","Verlierer 3",IF(E5="Spieler 41","Verlierer 3",IF(D5=E5,"Freilos",IF(E5="Freilos",E5,IF(D5="Freilos",D5,IF(F5&gt;G5,E5,IF(G5&gt;F5,D5,"Verlierer 3")))))))</f>
        <v>Verlierer 3</v>
      </c>
      <c r="E36" s="94" t="str">
        <f>IF(D6="Spieler 25","Verlierer 4",IF(E6="Spieler 57","Verlierer 4",IF(D6=E6,"Freilos",IF(E6="Freilos",E6,IF(D6="Freilos",D6,IF(F6&gt;G6,E6,IF(G6&gt;F6,D6,"Verlierer 4")))))))</f>
        <v>Verlierer 4</v>
      </c>
      <c r="F36" s="79"/>
      <c r="G36" s="80"/>
      <c r="H36" s="95"/>
      <c r="I36" s="95"/>
      <c r="J36" s="95"/>
      <c r="K36" s="96"/>
      <c r="L36" s="217"/>
      <c r="M36" s="92">
        <f t="shared" si="27"/>
      </c>
      <c r="N36" s="64">
        <f t="shared" si="0"/>
        <v>0</v>
      </c>
      <c r="O36" s="64">
        <f t="shared" si="1"/>
        <v>0</v>
      </c>
      <c r="P36" s="64">
        <f t="shared" si="8"/>
        <v>0</v>
      </c>
      <c r="Q36" s="64">
        <f t="shared" si="9"/>
        <v>0</v>
      </c>
      <c r="R36" s="64">
        <f t="shared" si="10"/>
        <v>0</v>
      </c>
      <c r="S36" s="64">
        <f t="shared" si="11"/>
        <v>0</v>
      </c>
      <c r="T36" s="178">
        <f t="shared" si="2"/>
        <v>0</v>
      </c>
      <c r="U36" s="178">
        <f t="shared" si="12"/>
        <v>0</v>
      </c>
      <c r="V36" s="64">
        <v>34</v>
      </c>
      <c r="W36" s="64" t="str">
        <f>IF(Auslosung_Turnierdaten!F42="","Spieler 34",Auslosung_Turnierdaten!F42)</f>
        <v>Spieler 34</v>
      </c>
      <c r="X36" s="64">
        <f t="shared" si="28"/>
        <v>0</v>
      </c>
      <c r="Y36" s="64">
        <f t="shared" si="29"/>
        <v>0</v>
      </c>
      <c r="Z36" s="64">
        <f t="shared" si="30"/>
        <v>0</v>
      </c>
      <c r="AA36" s="64">
        <f t="shared" si="13"/>
        <v>0</v>
      </c>
      <c r="AB36" s="64">
        <f t="shared" si="31"/>
        <v>0</v>
      </c>
      <c r="AC36" s="64">
        <f t="shared" si="14"/>
        <v>0</v>
      </c>
      <c r="AD36" s="64">
        <f t="shared" si="15"/>
        <v>0</v>
      </c>
      <c r="AE36" s="179">
        <f t="shared" si="16"/>
        <v>0</v>
      </c>
      <c r="AF36" s="64">
        <f t="shared" si="17"/>
        <v>0</v>
      </c>
      <c r="AG36" s="179">
        <f t="shared" si="18"/>
        <v>0</v>
      </c>
      <c r="AH36" s="179">
        <f t="shared" si="32"/>
        <v>0</v>
      </c>
      <c r="AI36" s="64">
        <f t="shared" si="19"/>
        <v>0</v>
      </c>
      <c r="AJ36" s="64">
        <f t="shared" si="20"/>
        <v>0</v>
      </c>
      <c r="AK36" s="64">
        <f t="shared" si="21"/>
        <v>0</v>
      </c>
      <c r="AL36" s="64">
        <f t="shared" si="22"/>
        <v>0</v>
      </c>
      <c r="AM36" s="180"/>
      <c r="AN36" s="181"/>
      <c r="AO36" s="182"/>
      <c r="AP36" s="64">
        <f t="shared" si="23"/>
        <v>0</v>
      </c>
      <c r="AQ36" s="64">
        <f>IF(AND(COUNTIF(L36:L36:$L$129,L36)=1,F36+G36&gt;0),L36&amp;"-","")</f>
      </c>
      <c r="AR36" s="64">
        <f t="shared" si="24"/>
      </c>
      <c r="AS36" s="202"/>
      <c r="AT36" s="202"/>
      <c r="AU36" s="203">
        <f t="shared" si="25"/>
      </c>
    </row>
    <row r="37" spans="3:47" ht="10.5">
      <c r="C37" s="70">
        <v>35</v>
      </c>
      <c r="D37" s="93" t="str">
        <f>IF(D7="Spieler 5","Verlierer 5",IF(E7="Spieler 37","Verlierer 5",IF(D7=E7,"Freilos",IF(E7="Freilos",E7,IF(D7="Freilos",D7,IF(F7&gt;G7,E7,IF(G7&gt;F7,D7,"Verlierer 5")))))))</f>
        <v>Verlierer 5</v>
      </c>
      <c r="E37" s="94" t="str">
        <f>IF(D8="Spieler 21","Verlierer 6",IF(E8="Spieler 53","Verlierer 6",IF(D8=E8,"Freilos",IF(E8="Freilos",E8,IF(D8="Freilos",D8,IF(F8&gt;G8,E8,IF(G8&gt;F8,D8,"Verlierer 6")))))))</f>
        <v>Verlierer 6</v>
      </c>
      <c r="F37" s="79"/>
      <c r="G37" s="80"/>
      <c r="H37" s="95"/>
      <c r="I37" s="95"/>
      <c r="J37" s="95"/>
      <c r="K37" s="96"/>
      <c r="L37" s="217"/>
      <c r="M37" s="92">
        <f t="shared" si="27"/>
      </c>
      <c r="N37" s="64">
        <f t="shared" si="0"/>
        <v>0</v>
      </c>
      <c r="O37" s="64">
        <f t="shared" si="1"/>
        <v>0</v>
      </c>
      <c r="P37" s="64">
        <f t="shared" si="8"/>
        <v>0</v>
      </c>
      <c r="Q37" s="64">
        <f t="shared" si="9"/>
        <v>0</v>
      </c>
      <c r="R37" s="64">
        <f t="shared" si="10"/>
        <v>0</v>
      </c>
      <c r="S37" s="64">
        <f t="shared" si="11"/>
        <v>0</v>
      </c>
      <c r="T37" s="178">
        <f t="shared" si="2"/>
        <v>0</v>
      </c>
      <c r="U37" s="178">
        <f t="shared" si="12"/>
        <v>0</v>
      </c>
      <c r="V37" s="64">
        <v>35</v>
      </c>
      <c r="W37" s="64" t="str">
        <f>IF(Auslosung_Turnierdaten!F43="","Spieler 35",Auslosung_Turnierdaten!F43)</f>
        <v>Spieler 35</v>
      </c>
      <c r="X37" s="64">
        <f t="shared" si="28"/>
        <v>0</v>
      </c>
      <c r="Y37" s="64">
        <f t="shared" si="29"/>
        <v>0</v>
      </c>
      <c r="Z37" s="64">
        <f t="shared" si="30"/>
        <v>0</v>
      </c>
      <c r="AA37" s="64">
        <f t="shared" si="13"/>
        <v>0</v>
      </c>
      <c r="AB37" s="64">
        <f t="shared" si="31"/>
        <v>0</v>
      </c>
      <c r="AC37" s="64">
        <f t="shared" si="14"/>
        <v>0</v>
      </c>
      <c r="AD37" s="64">
        <f t="shared" si="15"/>
        <v>0</v>
      </c>
      <c r="AE37" s="179">
        <f t="shared" si="16"/>
        <v>0</v>
      </c>
      <c r="AF37" s="64">
        <f t="shared" si="17"/>
        <v>0</v>
      </c>
      <c r="AG37" s="179">
        <f t="shared" si="18"/>
        <v>0</v>
      </c>
      <c r="AH37" s="179">
        <f t="shared" si="32"/>
        <v>0</v>
      </c>
      <c r="AI37" s="64">
        <f t="shared" si="19"/>
        <v>0</v>
      </c>
      <c r="AJ37" s="64">
        <f t="shared" si="20"/>
        <v>0</v>
      </c>
      <c r="AK37" s="64">
        <f t="shared" si="21"/>
        <v>0</v>
      </c>
      <c r="AL37" s="64">
        <f t="shared" si="22"/>
        <v>0</v>
      </c>
      <c r="AM37" s="180"/>
      <c r="AN37" s="181"/>
      <c r="AO37" s="182"/>
      <c r="AP37" s="64">
        <f t="shared" si="23"/>
        <v>0</v>
      </c>
      <c r="AQ37" s="64">
        <f>IF(AND(COUNTIF(L37:L37:$L$129,L37)=1,F37+G37&gt;0),L37&amp;"-","")</f>
      </c>
      <c r="AR37" s="64">
        <f t="shared" si="24"/>
      </c>
      <c r="AS37" s="202"/>
      <c r="AT37" s="202"/>
      <c r="AU37" s="203">
        <f t="shared" si="25"/>
      </c>
    </row>
    <row r="38" spans="3:47" ht="10.5">
      <c r="C38" s="70">
        <v>36</v>
      </c>
      <c r="D38" s="93" t="str">
        <f>IF(D9="Spieler 13","Verlierer 7",IF(E9="Spieler 45","Verlierer 7",IF(D9=E9,"Freilos",IF(E9="Freilos",E9,IF(D9="Freilos",D9,IF(F9&gt;G9,E9,IF(G9&gt;F9,D9,"Verlierer 7")))))))</f>
        <v>Verlierer 7</v>
      </c>
      <c r="E38" s="94" t="str">
        <f>IF(D10="Spieler 29","Verlierer 8",IF(E10="Spieler 61","Verlierer 8",IF(D10=E10,"Freilos",IF(E10="Freilos",E10,IF(D10="Freilos",D10,IF(F10&gt;G10,E10,IF(G10&gt;F10,D10,"Verlierer 8")))))))</f>
        <v>Verlierer 8</v>
      </c>
      <c r="F38" s="79"/>
      <c r="G38" s="80"/>
      <c r="H38" s="95"/>
      <c r="I38" s="95"/>
      <c r="J38" s="95"/>
      <c r="K38" s="96"/>
      <c r="L38" s="217"/>
      <c r="M38" s="92">
        <f t="shared" si="27"/>
      </c>
      <c r="N38" s="64">
        <f t="shared" si="0"/>
        <v>0</v>
      </c>
      <c r="O38" s="64">
        <f t="shared" si="1"/>
        <v>0</v>
      </c>
      <c r="P38" s="64">
        <f t="shared" si="8"/>
        <v>0</v>
      </c>
      <c r="Q38" s="64">
        <f t="shared" si="9"/>
        <v>0</v>
      </c>
      <c r="R38" s="64">
        <f t="shared" si="10"/>
        <v>0</v>
      </c>
      <c r="S38" s="64">
        <f t="shared" si="11"/>
        <v>0</v>
      </c>
      <c r="T38" s="178">
        <f t="shared" si="2"/>
        <v>0</v>
      </c>
      <c r="U38" s="178">
        <f t="shared" si="12"/>
        <v>0</v>
      </c>
      <c r="V38" s="64">
        <v>36</v>
      </c>
      <c r="W38" s="64" t="str">
        <f>IF(Auslosung_Turnierdaten!F44="","Spieler 36",Auslosung_Turnierdaten!F44)</f>
        <v>Spieler 36</v>
      </c>
      <c r="X38" s="64">
        <f t="shared" si="28"/>
        <v>0</v>
      </c>
      <c r="Y38" s="64">
        <f t="shared" si="29"/>
        <v>0</v>
      </c>
      <c r="Z38" s="64">
        <f t="shared" si="30"/>
        <v>0</v>
      </c>
      <c r="AA38" s="64">
        <f t="shared" si="13"/>
        <v>0</v>
      </c>
      <c r="AB38" s="64">
        <f t="shared" si="31"/>
        <v>0</v>
      </c>
      <c r="AC38" s="64">
        <f t="shared" si="14"/>
        <v>0</v>
      </c>
      <c r="AD38" s="64">
        <f t="shared" si="15"/>
        <v>0</v>
      </c>
      <c r="AE38" s="179">
        <f t="shared" si="16"/>
        <v>0</v>
      </c>
      <c r="AF38" s="64">
        <f t="shared" si="17"/>
        <v>0</v>
      </c>
      <c r="AG38" s="179">
        <f t="shared" si="18"/>
        <v>0</v>
      </c>
      <c r="AH38" s="179">
        <f t="shared" si="32"/>
        <v>0</v>
      </c>
      <c r="AI38" s="64">
        <f t="shared" si="19"/>
        <v>0</v>
      </c>
      <c r="AJ38" s="64">
        <f t="shared" si="20"/>
        <v>0</v>
      </c>
      <c r="AK38" s="64">
        <f t="shared" si="21"/>
        <v>0</v>
      </c>
      <c r="AL38" s="64">
        <f t="shared" si="22"/>
        <v>0</v>
      </c>
      <c r="AM38" s="180"/>
      <c r="AN38" s="181"/>
      <c r="AO38" s="182"/>
      <c r="AP38" s="64">
        <f t="shared" si="23"/>
        <v>0</v>
      </c>
      <c r="AQ38" s="64">
        <f>IF(AND(COUNTIF(L38:L38:$L$129,L38)=1,F38+G38&gt;0),L38&amp;"-","")</f>
      </c>
      <c r="AR38" s="64">
        <f t="shared" si="24"/>
      </c>
      <c r="AS38" s="202"/>
      <c r="AT38" s="202"/>
      <c r="AU38" s="203">
        <f t="shared" si="25"/>
      </c>
    </row>
    <row r="39" spans="3:47" ht="10.5">
      <c r="C39" s="70">
        <v>37</v>
      </c>
      <c r="D39" s="93" t="str">
        <f>IF(D11="Spieler 3","Verlierer 9",IF(E11="Spieler 35","Verlierer 9",IF(D11=E11,"Freilos",IF(E11="Freilos",E11,IF(D11="Freilos",D11,IF(F11&gt;G11,E11,IF(G11&gt;F11,D11,"Verlierer 9")))))))</f>
        <v>Verlierer 9</v>
      </c>
      <c r="E39" s="94" t="str">
        <f>IF(D12="Spieler 19","Verlierer 10",IF(E12="Spieler 51","Verlierer 10",IF(D12=E12,"Freilos",IF(E12="Freilos",E12,IF(D12="Freilos",D12,IF(F12&gt;G12,E12,IF(G12&gt;F12,D12,"Verlierer 10")))))))</f>
        <v>Verlierer 10</v>
      </c>
      <c r="F39" s="79"/>
      <c r="G39" s="80"/>
      <c r="H39" s="95"/>
      <c r="I39" s="95"/>
      <c r="J39" s="95"/>
      <c r="K39" s="96"/>
      <c r="L39" s="217"/>
      <c r="M39" s="92">
        <f t="shared" si="27"/>
      </c>
      <c r="N39" s="64">
        <f t="shared" si="0"/>
        <v>0</v>
      </c>
      <c r="O39" s="64">
        <f t="shared" si="1"/>
        <v>0</v>
      </c>
      <c r="P39" s="64">
        <f t="shared" si="8"/>
        <v>0</v>
      </c>
      <c r="Q39" s="64">
        <f t="shared" si="9"/>
        <v>0</v>
      </c>
      <c r="R39" s="64">
        <f t="shared" si="10"/>
        <v>0</v>
      </c>
      <c r="S39" s="64">
        <f t="shared" si="11"/>
        <v>0</v>
      </c>
      <c r="T39" s="178">
        <f t="shared" si="2"/>
        <v>0</v>
      </c>
      <c r="U39" s="178">
        <f t="shared" si="12"/>
        <v>0</v>
      </c>
      <c r="V39" s="64">
        <v>37</v>
      </c>
      <c r="W39" s="64" t="str">
        <f>IF(Auslosung_Turnierdaten!F45="","Spieler 37",Auslosung_Turnierdaten!F45)</f>
        <v>Spieler 37</v>
      </c>
      <c r="X39" s="64">
        <f t="shared" si="28"/>
        <v>0</v>
      </c>
      <c r="Y39" s="64">
        <f t="shared" si="29"/>
        <v>0</v>
      </c>
      <c r="Z39" s="64">
        <f t="shared" si="30"/>
        <v>0</v>
      </c>
      <c r="AA39" s="64">
        <f t="shared" si="13"/>
        <v>0</v>
      </c>
      <c r="AB39" s="64">
        <f t="shared" si="31"/>
        <v>0</v>
      </c>
      <c r="AC39" s="64">
        <f t="shared" si="14"/>
        <v>0</v>
      </c>
      <c r="AD39" s="64">
        <f t="shared" si="15"/>
        <v>0</v>
      </c>
      <c r="AE39" s="179">
        <f t="shared" si="16"/>
        <v>0</v>
      </c>
      <c r="AF39" s="64">
        <f t="shared" si="17"/>
        <v>0</v>
      </c>
      <c r="AG39" s="179">
        <f t="shared" si="18"/>
        <v>0</v>
      </c>
      <c r="AH39" s="179">
        <f t="shared" si="32"/>
        <v>0</v>
      </c>
      <c r="AI39" s="64">
        <f t="shared" si="19"/>
        <v>0</v>
      </c>
      <c r="AJ39" s="64">
        <f t="shared" si="20"/>
        <v>0</v>
      </c>
      <c r="AK39" s="64">
        <f t="shared" si="21"/>
        <v>0</v>
      </c>
      <c r="AL39" s="64">
        <f t="shared" si="22"/>
        <v>0</v>
      </c>
      <c r="AM39" s="180"/>
      <c r="AN39" s="181"/>
      <c r="AO39" s="182"/>
      <c r="AP39" s="64">
        <f t="shared" si="23"/>
        <v>0</v>
      </c>
      <c r="AQ39" s="64">
        <f>IF(AND(COUNTIF(L39:L39:$L$129,L39)=1,F39+G39&gt;0),L39&amp;"-","")</f>
      </c>
      <c r="AR39" s="64">
        <f t="shared" si="24"/>
      </c>
      <c r="AS39" s="202"/>
      <c r="AT39" s="202"/>
      <c r="AU39" s="203">
        <f t="shared" si="25"/>
      </c>
    </row>
    <row r="40" spans="3:47" ht="10.5">
      <c r="C40" s="70">
        <v>38</v>
      </c>
      <c r="D40" s="93" t="str">
        <f>IF(D13="Spieler 11","Verlierer 11",IF(E13="Spieler 43","Verlierer 11",IF(D13=E13,"Freilos",IF(E13="Freilos",E13,IF(D13="Freilos",D13,IF(F13&gt;G13,E13,IF(G13&gt;F13,D13,"Verlierer 11")))))))</f>
        <v>Verlierer 11</v>
      </c>
      <c r="E40" s="94" t="str">
        <f>IF(D14="Spieler 27","Verlierer 12",IF(E14="Spieler 59","Verlierer 12",IF(D14=E14,"Freilos",IF(E14="Freilos",E14,IF(D14="Freilos",D14,IF(F14&gt;G14,E14,IF(G14&gt;F14,D14,"Verlierer 12")))))))</f>
        <v>Verlierer 12</v>
      </c>
      <c r="F40" s="79"/>
      <c r="G40" s="80"/>
      <c r="H40" s="95"/>
      <c r="I40" s="95"/>
      <c r="J40" s="95"/>
      <c r="K40" s="96"/>
      <c r="L40" s="217"/>
      <c r="M40" s="92">
        <f t="shared" si="27"/>
      </c>
      <c r="N40" s="64">
        <f t="shared" si="0"/>
        <v>0</v>
      </c>
      <c r="O40" s="64">
        <f t="shared" si="1"/>
        <v>0</v>
      </c>
      <c r="P40" s="64">
        <f t="shared" si="8"/>
        <v>0</v>
      </c>
      <c r="Q40" s="64">
        <f t="shared" si="9"/>
        <v>0</v>
      </c>
      <c r="R40" s="64">
        <f t="shared" si="10"/>
        <v>0</v>
      </c>
      <c r="S40" s="64">
        <f t="shared" si="11"/>
        <v>0</v>
      </c>
      <c r="T40" s="178">
        <f t="shared" si="2"/>
        <v>0</v>
      </c>
      <c r="U40" s="178">
        <f t="shared" si="12"/>
        <v>0</v>
      </c>
      <c r="V40" s="64">
        <v>38</v>
      </c>
      <c r="W40" s="64" t="str">
        <f>IF(Auslosung_Turnierdaten!F46="","Spieler 38",Auslosung_Turnierdaten!F46)</f>
        <v>Spieler 38</v>
      </c>
      <c r="X40" s="64">
        <f t="shared" si="28"/>
        <v>0</v>
      </c>
      <c r="Y40" s="64">
        <f t="shared" si="29"/>
        <v>0</v>
      </c>
      <c r="Z40" s="64">
        <f t="shared" si="30"/>
        <v>0</v>
      </c>
      <c r="AA40" s="64">
        <f t="shared" si="13"/>
        <v>0</v>
      </c>
      <c r="AB40" s="64">
        <f t="shared" si="31"/>
        <v>0</v>
      </c>
      <c r="AC40" s="64">
        <f t="shared" si="14"/>
        <v>0</v>
      </c>
      <c r="AD40" s="64">
        <f t="shared" si="15"/>
        <v>0</v>
      </c>
      <c r="AE40" s="179">
        <f t="shared" si="16"/>
        <v>0</v>
      </c>
      <c r="AF40" s="64">
        <f t="shared" si="17"/>
        <v>0</v>
      </c>
      <c r="AG40" s="179">
        <f t="shared" si="18"/>
        <v>0</v>
      </c>
      <c r="AH40" s="179">
        <f t="shared" si="32"/>
        <v>0</v>
      </c>
      <c r="AI40" s="64">
        <f t="shared" si="19"/>
        <v>0</v>
      </c>
      <c r="AJ40" s="64">
        <f t="shared" si="20"/>
        <v>0</v>
      </c>
      <c r="AK40" s="64">
        <f t="shared" si="21"/>
        <v>0</v>
      </c>
      <c r="AL40" s="64">
        <f t="shared" si="22"/>
        <v>0</v>
      </c>
      <c r="AM40" s="180"/>
      <c r="AN40" s="181"/>
      <c r="AO40" s="182"/>
      <c r="AP40" s="64">
        <f t="shared" si="23"/>
        <v>0</v>
      </c>
      <c r="AQ40" s="64">
        <f>IF(AND(COUNTIF(L40:L40:$L$129,L40)=1,F40+G40&gt;0),L40&amp;"-","")</f>
      </c>
      <c r="AR40" s="64">
        <f t="shared" si="24"/>
      </c>
      <c r="AS40" s="202"/>
      <c r="AT40" s="202"/>
      <c r="AU40" s="203">
        <f t="shared" si="25"/>
      </c>
    </row>
    <row r="41" spans="3:47" ht="10.5">
      <c r="C41" s="70">
        <v>39</v>
      </c>
      <c r="D41" s="93" t="str">
        <f>IF(D15="Spieler 7","Verlierer 13",IF(E15="Spieler 39","Verlierer 13",IF(D15=E15,"Freilos",IF(E15="Freilos",E15,IF(D15="Freilos",D15,IF(F15&gt;G15,E15,IF(G15&gt;F15,D15,"Verlierer 13")))))))</f>
        <v>Verlierer 13</v>
      </c>
      <c r="E41" s="94" t="str">
        <f>IF(D16="Spieler 23","Verlierer 14",IF(E16="Spieler 55","Verlierer 14",IF(D16=E16,"Freilos",IF(E16="Freilos",E16,IF(D16="Freilos",D16,IF(F16&gt;G16,E16,IF(G16&gt;F16,D16,"Verlierer 14")))))))</f>
        <v>Verlierer 14</v>
      </c>
      <c r="F41" s="79"/>
      <c r="G41" s="80"/>
      <c r="H41" s="95"/>
      <c r="I41" s="95"/>
      <c r="J41" s="95"/>
      <c r="K41" s="96"/>
      <c r="L41" s="217"/>
      <c r="M41" s="92">
        <f t="shared" si="27"/>
      </c>
      <c r="N41" s="64">
        <f t="shared" si="0"/>
        <v>0</v>
      </c>
      <c r="O41" s="64">
        <f t="shared" si="1"/>
        <v>0</v>
      </c>
      <c r="P41" s="64">
        <f t="shared" si="8"/>
        <v>0</v>
      </c>
      <c r="Q41" s="64">
        <f t="shared" si="9"/>
        <v>0</v>
      </c>
      <c r="R41" s="64">
        <f t="shared" si="10"/>
        <v>0</v>
      </c>
      <c r="S41" s="64">
        <f t="shared" si="11"/>
        <v>0</v>
      </c>
      <c r="T41" s="178">
        <f t="shared" si="2"/>
        <v>0</v>
      </c>
      <c r="U41" s="178">
        <f t="shared" si="12"/>
        <v>0</v>
      </c>
      <c r="V41" s="64">
        <v>39</v>
      </c>
      <c r="W41" s="64" t="str">
        <f>IF(Auslosung_Turnierdaten!F47="","Spieler 39",Auslosung_Turnierdaten!F47)</f>
        <v>Spieler 39</v>
      </c>
      <c r="X41" s="64">
        <f t="shared" si="28"/>
        <v>0</v>
      </c>
      <c r="Y41" s="64">
        <f t="shared" si="29"/>
        <v>0</v>
      </c>
      <c r="Z41" s="64">
        <f t="shared" si="30"/>
        <v>0</v>
      </c>
      <c r="AA41" s="64">
        <f t="shared" si="13"/>
        <v>0</v>
      </c>
      <c r="AB41" s="64">
        <f t="shared" si="31"/>
        <v>0</v>
      </c>
      <c r="AC41" s="64">
        <f t="shared" si="14"/>
        <v>0</v>
      </c>
      <c r="AD41" s="64">
        <f t="shared" si="15"/>
        <v>0</v>
      </c>
      <c r="AE41" s="179">
        <f t="shared" si="16"/>
        <v>0</v>
      </c>
      <c r="AF41" s="64">
        <f t="shared" si="17"/>
        <v>0</v>
      </c>
      <c r="AG41" s="179">
        <f t="shared" si="18"/>
        <v>0</v>
      </c>
      <c r="AH41" s="179">
        <f t="shared" si="32"/>
        <v>0</v>
      </c>
      <c r="AI41" s="64">
        <f t="shared" si="19"/>
        <v>0</v>
      </c>
      <c r="AJ41" s="64">
        <f t="shared" si="20"/>
        <v>0</v>
      </c>
      <c r="AK41" s="64">
        <f t="shared" si="21"/>
        <v>0</v>
      </c>
      <c r="AL41" s="64">
        <f t="shared" si="22"/>
        <v>0</v>
      </c>
      <c r="AM41" s="180"/>
      <c r="AN41" s="181"/>
      <c r="AO41" s="182"/>
      <c r="AP41" s="64">
        <f t="shared" si="23"/>
        <v>0</v>
      </c>
      <c r="AQ41" s="64">
        <f>IF(AND(COUNTIF(L41:L41:$L$129,L41)=1,F41+G41&gt;0),L41&amp;"-","")</f>
      </c>
      <c r="AR41" s="64">
        <f t="shared" si="24"/>
      </c>
      <c r="AS41" s="202"/>
      <c r="AT41" s="202"/>
      <c r="AU41" s="203">
        <f t="shared" si="25"/>
      </c>
    </row>
    <row r="42" spans="3:47" ht="10.5">
      <c r="C42" s="70">
        <v>40</v>
      </c>
      <c r="D42" s="93" t="str">
        <f>IF(D17="Spieler 15","Verlierer 15",IF(E17="Spieler 47","Verlierer 15",IF(D17=E17,"Freilos",IF(E17="Freilos",E17,IF(D17="Freilos",D17,IF(F17&gt;G17,E17,IF(G17&gt;F17,D17,"Verlierer 15")))))))</f>
        <v>Verlierer 15</v>
      </c>
      <c r="E42" s="94" t="str">
        <f>IF(D18="Spieler 31","Verlierer 16",IF(E18="Spieler 63","Verlierer 16",IF(D18=E18,"Freilos",IF(E18="Freilos",E18,IF(D18="Freilos",D18,IF(F18&gt;G18,E18,IF(G18&gt;F18,D18,"Verlierer 16")))))))</f>
        <v>Verlierer 16</v>
      </c>
      <c r="F42" s="79"/>
      <c r="G42" s="80"/>
      <c r="H42" s="95"/>
      <c r="I42" s="95"/>
      <c r="J42" s="95"/>
      <c r="K42" s="96"/>
      <c r="L42" s="217"/>
      <c r="M42" s="92">
        <f t="shared" si="27"/>
      </c>
      <c r="N42" s="64">
        <f t="shared" si="0"/>
        <v>0</v>
      </c>
      <c r="O42" s="64">
        <f t="shared" si="1"/>
        <v>0</v>
      </c>
      <c r="P42" s="64">
        <f t="shared" si="8"/>
        <v>0</v>
      </c>
      <c r="Q42" s="64">
        <f t="shared" si="9"/>
        <v>0</v>
      </c>
      <c r="R42" s="64">
        <f t="shared" si="10"/>
        <v>0</v>
      </c>
      <c r="S42" s="64">
        <f t="shared" si="11"/>
        <v>0</v>
      </c>
      <c r="T42" s="178">
        <f t="shared" si="2"/>
        <v>0</v>
      </c>
      <c r="U42" s="178">
        <f t="shared" si="12"/>
        <v>0</v>
      </c>
      <c r="V42" s="64">
        <v>40</v>
      </c>
      <c r="W42" s="64" t="str">
        <f>IF(Auslosung_Turnierdaten!F48="","Spieler 40",Auslosung_Turnierdaten!F48)</f>
        <v>Spieler 40</v>
      </c>
      <c r="X42" s="64">
        <f t="shared" si="28"/>
        <v>0</v>
      </c>
      <c r="Y42" s="64">
        <f t="shared" si="29"/>
        <v>0</v>
      </c>
      <c r="Z42" s="64">
        <f t="shared" si="30"/>
        <v>0</v>
      </c>
      <c r="AA42" s="64">
        <f t="shared" si="13"/>
        <v>0</v>
      </c>
      <c r="AB42" s="64">
        <f t="shared" si="31"/>
        <v>0</v>
      </c>
      <c r="AC42" s="64">
        <f t="shared" si="14"/>
        <v>0</v>
      </c>
      <c r="AD42" s="64">
        <f t="shared" si="15"/>
        <v>0</v>
      </c>
      <c r="AE42" s="179">
        <f t="shared" si="16"/>
        <v>0</v>
      </c>
      <c r="AF42" s="64">
        <f t="shared" si="17"/>
        <v>0</v>
      </c>
      <c r="AG42" s="179">
        <f t="shared" si="18"/>
        <v>0</v>
      </c>
      <c r="AH42" s="179">
        <f t="shared" si="32"/>
        <v>0</v>
      </c>
      <c r="AI42" s="64">
        <f t="shared" si="19"/>
        <v>0</v>
      </c>
      <c r="AJ42" s="64">
        <f t="shared" si="20"/>
        <v>0</v>
      </c>
      <c r="AK42" s="64">
        <f t="shared" si="21"/>
        <v>0</v>
      </c>
      <c r="AL42" s="64">
        <f t="shared" si="22"/>
        <v>0</v>
      </c>
      <c r="AM42" s="180"/>
      <c r="AN42" s="181"/>
      <c r="AO42" s="182"/>
      <c r="AP42" s="64">
        <f t="shared" si="23"/>
        <v>0</v>
      </c>
      <c r="AQ42" s="64">
        <f>IF(AND(COUNTIF(L42:L42:$L$129,L42)=1,F42+G42&gt;0),L42&amp;"-","")</f>
      </c>
      <c r="AR42" s="64">
        <f t="shared" si="24"/>
      </c>
      <c r="AS42" s="202"/>
      <c r="AT42" s="202"/>
      <c r="AU42" s="203">
        <f t="shared" si="25"/>
      </c>
    </row>
    <row r="43" spans="3:47" ht="10.5">
      <c r="C43" s="70">
        <v>41</v>
      </c>
      <c r="D43" s="93" t="str">
        <f>IF(D19="Spieler 2","Verlierer 17",IF(E19="Spieler 34","Verlierer 17",IF(D19=E19,"Freilos",IF(E19="Freilos",E19,IF(D19="Freilos",D19,IF(F19&gt;G19,E19,IF(G19&gt;F19,D19,"Verlierer 17")))))))</f>
        <v>Verlierer 17</v>
      </c>
      <c r="E43" s="94" t="str">
        <f>IF(D20="Spieler 18","Verlierer 18",IF(E20="Spieler 50","Verlierer 18",IF(D20=E20,"Freilos",IF(E20="Freilos",E20,IF(D20="Freilos",D20,IF(F20&gt;G20,E20,IF(G20&gt;F20,D20,"Verlierer 18")))))))</f>
        <v>Verlierer 18</v>
      </c>
      <c r="F43" s="79"/>
      <c r="G43" s="80"/>
      <c r="H43" s="95"/>
      <c r="I43" s="95"/>
      <c r="J43" s="95"/>
      <c r="K43" s="96"/>
      <c r="L43" s="217"/>
      <c r="M43" s="92">
        <f t="shared" si="27"/>
      </c>
      <c r="N43" s="64">
        <f t="shared" si="0"/>
        <v>0</v>
      </c>
      <c r="O43" s="64">
        <f t="shared" si="1"/>
        <v>0</v>
      </c>
      <c r="P43" s="64">
        <f t="shared" si="8"/>
        <v>0</v>
      </c>
      <c r="Q43" s="64">
        <f t="shared" si="9"/>
        <v>0</v>
      </c>
      <c r="R43" s="64">
        <f t="shared" si="10"/>
        <v>0</v>
      </c>
      <c r="S43" s="64">
        <f t="shared" si="11"/>
        <v>0</v>
      </c>
      <c r="T43" s="178">
        <f t="shared" si="2"/>
        <v>0</v>
      </c>
      <c r="U43" s="178">
        <f t="shared" si="12"/>
        <v>0</v>
      </c>
      <c r="V43" s="64">
        <v>41</v>
      </c>
      <c r="W43" s="64" t="str">
        <f>IF(Auslosung_Turnierdaten!F49="","Spieler 41",Auslosung_Turnierdaten!F49)</f>
        <v>Spieler 41</v>
      </c>
      <c r="X43" s="64">
        <f t="shared" si="28"/>
        <v>0</v>
      </c>
      <c r="Y43" s="64">
        <f t="shared" si="29"/>
        <v>0</v>
      </c>
      <c r="Z43" s="64">
        <f t="shared" si="30"/>
        <v>0</v>
      </c>
      <c r="AA43" s="64">
        <f t="shared" si="13"/>
        <v>0</v>
      </c>
      <c r="AB43" s="64">
        <f t="shared" si="31"/>
        <v>0</v>
      </c>
      <c r="AC43" s="64">
        <f t="shared" si="14"/>
        <v>0</v>
      </c>
      <c r="AD43" s="64">
        <f t="shared" si="15"/>
        <v>0</v>
      </c>
      <c r="AE43" s="179">
        <f t="shared" si="16"/>
        <v>0</v>
      </c>
      <c r="AF43" s="64">
        <f t="shared" si="17"/>
        <v>0</v>
      </c>
      <c r="AG43" s="179">
        <f t="shared" si="18"/>
        <v>0</v>
      </c>
      <c r="AH43" s="179">
        <f t="shared" si="32"/>
        <v>0</v>
      </c>
      <c r="AI43" s="64">
        <f t="shared" si="19"/>
        <v>0</v>
      </c>
      <c r="AJ43" s="64">
        <f t="shared" si="20"/>
        <v>0</v>
      </c>
      <c r="AK43" s="64">
        <f t="shared" si="21"/>
        <v>0</v>
      </c>
      <c r="AL43" s="64">
        <f t="shared" si="22"/>
        <v>0</v>
      </c>
      <c r="AM43" s="180"/>
      <c r="AN43" s="181"/>
      <c r="AO43" s="182"/>
      <c r="AP43" s="64">
        <f t="shared" si="23"/>
        <v>0</v>
      </c>
      <c r="AQ43" s="64">
        <f>IF(AND(COUNTIF(L43:L43:$L$129,L43)=1,F43+G43&gt;0),L43&amp;"-","")</f>
      </c>
      <c r="AR43" s="64">
        <f t="shared" si="24"/>
      </c>
      <c r="AS43" s="202"/>
      <c r="AT43" s="202"/>
      <c r="AU43" s="203">
        <f t="shared" si="25"/>
      </c>
    </row>
    <row r="44" spans="3:47" ht="10.5">
      <c r="C44" s="70">
        <v>42</v>
      </c>
      <c r="D44" s="93" t="str">
        <f>IF(D21="Spieler 10","Verlierer 19",IF(E21="Spieler 42","Verlierer 19",IF(D21=E21,"Freilos",IF(E21="Freilos",E21,IF(D21="Freilos",D21,IF(F21&gt;G21,E21,IF(G21&gt;F21,D21,"Verlierer 19")))))))</f>
        <v>Verlierer 19</v>
      </c>
      <c r="E44" s="94" t="str">
        <f>IF(D22="Spieler 26","Verlierer 20",IF(E22="Spieler 58","Verlierer 20",IF(D22=E22,"Freilos",IF(E22="Freilos",E22,IF(D22="Freilos",D22,IF(F22&gt;G22,E22,IF(G22&gt;F22,D22,"Verlierer 20")))))))</f>
        <v>Verlierer 20</v>
      </c>
      <c r="F44" s="79"/>
      <c r="G44" s="80"/>
      <c r="H44" s="95"/>
      <c r="I44" s="95"/>
      <c r="J44" s="95"/>
      <c r="K44" s="96"/>
      <c r="L44" s="217"/>
      <c r="M44" s="92">
        <f t="shared" si="27"/>
      </c>
      <c r="N44" s="64">
        <f t="shared" si="0"/>
        <v>0</v>
      </c>
      <c r="O44" s="64">
        <f t="shared" si="1"/>
        <v>0</v>
      </c>
      <c r="P44" s="64">
        <f t="shared" si="8"/>
        <v>0</v>
      </c>
      <c r="Q44" s="64">
        <f t="shared" si="9"/>
        <v>0</v>
      </c>
      <c r="R44" s="64">
        <f t="shared" si="10"/>
        <v>0</v>
      </c>
      <c r="S44" s="64">
        <f t="shared" si="11"/>
        <v>0</v>
      </c>
      <c r="T44" s="178">
        <f t="shared" si="2"/>
        <v>0</v>
      </c>
      <c r="U44" s="178">
        <f t="shared" si="12"/>
        <v>0</v>
      </c>
      <c r="V44" s="64">
        <v>42</v>
      </c>
      <c r="W44" s="64" t="str">
        <f>IF(Auslosung_Turnierdaten!F50="","Spieler 42",Auslosung_Turnierdaten!F50)</f>
        <v>Spieler 42</v>
      </c>
      <c r="X44" s="64">
        <f t="shared" si="28"/>
        <v>0</v>
      </c>
      <c r="Y44" s="64">
        <f t="shared" si="29"/>
        <v>0</v>
      </c>
      <c r="Z44" s="64">
        <f t="shared" si="30"/>
        <v>0</v>
      </c>
      <c r="AA44" s="64">
        <f t="shared" si="13"/>
        <v>0</v>
      </c>
      <c r="AB44" s="64">
        <f t="shared" si="31"/>
        <v>0</v>
      </c>
      <c r="AC44" s="64">
        <f t="shared" si="14"/>
        <v>0</v>
      </c>
      <c r="AD44" s="64">
        <f t="shared" si="15"/>
        <v>0</v>
      </c>
      <c r="AE44" s="179">
        <f t="shared" si="16"/>
        <v>0</v>
      </c>
      <c r="AF44" s="64">
        <f t="shared" si="17"/>
        <v>0</v>
      </c>
      <c r="AG44" s="179">
        <f t="shared" si="18"/>
        <v>0</v>
      </c>
      <c r="AH44" s="179">
        <f t="shared" si="32"/>
        <v>0</v>
      </c>
      <c r="AI44" s="64">
        <f t="shared" si="19"/>
        <v>0</v>
      </c>
      <c r="AJ44" s="64">
        <f t="shared" si="20"/>
        <v>0</v>
      </c>
      <c r="AK44" s="64">
        <f t="shared" si="21"/>
        <v>0</v>
      </c>
      <c r="AL44" s="64">
        <f t="shared" si="22"/>
        <v>0</v>
      </c>
      <c r="AM44" s="180"/>
      <c r="AN44" s="181"/>
      <c r="AO44" s="182"/>
      <c r="AP44" s="64">
        <f t="shared" si="23"/>
        <v>0</v>
      </c>
      <c r="AQ44" s="64">
        <f>IF(AND(COUNTIF(L44:L44:$L$129,L44)=1,F44+G44&gt;0),L44&amp;"-","")</f>
      </c>
      <c r="AR44" s="64">
        <f t="shared" si="24"/>
      </c>
      <c r="AS44" s="202"/>
      <c r="AT44" s="202"/>
      <c r="AU44" s="203">
        <f t="shared" si="25"/>
      </c>
    </row>
    <row r="45" spans="3:47" ht="10.5">
      <c r="C45" s="70">
        <v>43</v>
      </c>
      <c r="D45" s="93" t="str">
        <f>IF(D23="Spieler 6","Verlierer 21",IF(E23="Spieler 38","Verlierer 21",IF(D23=E23,"Freilos",IF(E23="Freilos",E23,IF(D23="Freilos",D23,IF(F23&gt;G23,E23,IF(G23&gt;F23,D23,"Verlierer 21")))))))</f>
        <v>Verlierer 21</v>
      </c>
      <c r="E45" s="94" t="str">
        <f>IF(D24="Spieler 22","Verlierer 22",IF(E24="Spieler 54","Verlierer 22",IF(D24=E24,"Freilos",IF(E24="Freilos",E24,IF(D24="Freilos",D24,IF(F24&gt;G24,E24,IF(G24&gt;F24,D24,"Verlierer 22")))))))</f>
        <v>Verlierer 22</v>
      </c>
      <c r="F45" s="79"/>
      <c r="G45" s="80"/>
      <c r="H45" s="95"/>
      <c r="I45" s="95"/>
      <c r="J45" s="95"/>
      <c r="K45" s="96"/>
      <c r="L45" s="217"/>
      <c r="M45" s="92">
        <f t="shared" si="27"/>
      </c>
      <c r="N45" s="64">
        <f t="shared" si="0"/>
        <v>0</v>
      </c>
      <c r="O45" s="64">
        <f t="shared" si="1"/>
        <v>0</v>
      </c>
      <c r="P45" s="64">
        <f t="shared" si="8"/>
        <v>0</v>
      </c>
      <c r="Q45" s="64">
        <f t="shared" si="9"/>
        <v>0</v>
      </c>
      <c r="R45" s="64">
        <f t="shared" si="10"/>
        <v>0</v>
      </c>
      <c r="S45" s="64">
        <f t="shared" si="11"/>
        <v>0</v>
      </c>
      <c r="T45" s="178">
        <f t="shared" si="2"/>
        <v>0</v>
      </c>
      <c r="U45" s="178">
        <f t="shared" si="12"/>
        <v>0</v>
      </c>
      <c r="V45" s="64">
        <v>43</v>
      </c>
      <c r="W45" s="64" t="str">
        <f>IF(Auslosung_Turnierdaten!F51="","Spieler 43",Auslosung_Turnierdaten!F51)</f>
        <v>Spieler 43</v>
      </c>
      <c r="X45" s="64">
        <f t="shared" si="28"/>
        <v>0</v>
      </c>
      <c r="Y45" s="64">
        <f t="shared" si="29"/>
        <v>0</v>
      </c>
      <c r="Z45" s="64">
        <f t="shared" si="30"/>
        <v>0</v>
      </c>
      <c r="AA45" s="64">
        <f t="shared" si="13"/>
        <v>0</v>
      </c>
      <c r="AB45" s="64">
        <f t="shared" si="31"/>
        <v>0</v>
      </c>
      <c r="AC45" s="64">
        <f t="shared" si="14"/>
        <v>0</v>
      </c>
      <c r="AD45" s="64">
        <f t="shared" si="15"/>
        <v>0</v>
      </c>
      <c r="AE45" s="179">
        <f t="shared" si="16"/>
        <v>0</v>
      </c>
      <c r="AF45" s="64">
        <f t="shared" si="17"/>
        <v>0</v>
      </c>
      <c r="AG45" s="179">
        <f t="shared" si="18"/>
        <v>0</v>
      </c>
      <c r="AH45" s="179">
        <f t="shared" si="32"/>
        <v>0</v>
      </c>
      <c r="AI45" s="64">
        <f t="shared" si="19"/>
        <v>0</v>
      </c>
      <c r="AJ45" s="64">
        <f t="shared" si="20"/>
        <v>0</v>
      </c>
      <c r="AK45" s="64">
        <f t="shared" si="21"/>
        <v>0</v>
      </c>
      <c r="AL45" s="64">
        <f t="shared" si="22"/>
        <v>0</v>
      </c>
      <c r="AM45" s="180"/>
      <c r="AN45" s="181"/>
      <c r="AO45" s="182"/>
      <c r="AP45" s="64">
        <f t="shared" si="23"/>
        <v>0</v>
      </c>
      <c r="AQ45" s="64">
        <f>IF(AND(COUNTIF(L45:L45:$L$129,L45)=1,F45+G45&gt;0),L45&amp;"-","")</f>
      </c>
      <c r="AR45" s="64">
        <f t="shared" si="24"/>
      </c>
      <c r="AS45" s="202"/>
      <c r="AT45" s="202"/>
      <c r="AU45" s="203">
        <f t="shared" si="25"/>
      </c>
    </row>
    <row r="46" spans="3:47" ht="10.5">
      <c r="C46" s="70">
        <v>44</v>
      </c>
      <c r="D46" s="93" t="str">
        <f>IF(D25="Spieler 14","Verlierer 23",IF(E25="Spieler 46","Verlierer 23",IF(D25=E25,"Freilos",IF(E25="Freilos",E25,IF(D25="Freilos",D25,IF(F25&gt;G25,E25,IF(G25&gt;F25,D25,"Verlierer 23")))))))</f>
        <v>Verlierer 23</v>
      </c>
      <c r="E46" s="94" t="str">
        <f>IF(D26="Spieler 30","Verlierer 24",IF(E26="Spieler 62","Verlierer 24",IF(D26=E26,"Freilos",IF(E26="Freilos",E26,IF(D26="Freilos",D26,IF(F26&gt;G26,E26,IF(G26&gt;F26,D26,"Verlierer 24")))))))</f>
        <v>Verlierer 24</v>
      </c>
      <c r="F46" s="79"/>
      <c r="G46" s="80"/>
      <c r="H46" s="95"/>
      <c r="I46" s="95"/>
      <c r="J46" s="95"/>
      <c r="K46" s="96"/>
      <c r="L46" s="217"/>
      <c r="M46" s="92">
        <f t="shared" si="27"/>
      </c>
      <c r="N46" s="64">
        <f t="shared" si="0"/>
        <v>0</v>
      </c>
      <c r="O46" s="64">
        <f t="shared" si="1"/>
        <v>0</v>
      </c>
      <c r="P46" s="64">
        <f t="shared" si="8"/>
        <v>0</v>
      </c>
      <c r="Q46" s="64">
        <f t="shared" si="9"/>
        <v>0</v>
      </c>
      <c r="R46" s="64">
        <f t="shared" si="10"/>
        <v>0</v>
      </c>
      <c r="S46" s="64">
        <f t="shared" si="11"/>
        <v>0</v>
      </c>
      <c r="T46" s="178">
        <f t="shared" si="2"/>
        <v>0</v>
      </c>
      <c r="U46" s="178">
        <f t="shared" si="12"/>
        <v>0</v>
      </c>
      <c r="V46" s="64">
        <v>44</v>
      </c>
      <c r="W46" s="64" t="str">
        <f>IF(Auslosung_Turnierdaten!F52="","Spieler 44",Auslosung_Turnierdaten!F52)</f>
        <v>Spieler 44</v>
      </c>
      <c r="X46" s="64">
        <f t="shared" si="28"/>
        <v>0</v>
      </c>
      <c r="Y46" s="64">
        <f t="shared" si="29"/>
        <v>0</v>
      </c>
      <c r="Z46" s="64">
        <f t="shared" si="30"/>
        <v>0</v>
      </c>
      <c r="AA46" s="64">
        <f t="shared" si="13"/>
        <v>0</v>
      </c>
      <c r="AB46" s="64">
        <f t="shared" si="31"/>
        <v>0</v>
      </c>
      <c r="AC46" s="64">
        <f t="shared" si="14"/>
        <v>0</v>
      </c>
      <c r="AD46" s="64">
        <f t="shared" si="15"/>
        <v>0</v>
      </c>
      <c r="AE46" s="179">
        <f t="shared" si="16"/>
        <v>0</v>
      </c>
      <c r="AF46" s="64">
        <f t="shared" si="17"/>
        <v>0</v>
      </c>
      <c r="AG46" s="179">
        <f t="shared" si="18"/>
        <v>0</v>
      </c>
      <c r="AH46" s="179">
        <f t="shared" si="32"/>
        <v>0</v>
      </c>
      <c r="AI46" s="64">
        <f t="shared" si="19"/>
        <v>0</v>
      </c>
      <c r="AJ46" s="64">
        <f t="shared" si="20"/>
        <v>0</v>
      </c>
      <c r="AK46" s="64">
        <f t="shared" si="21"/>
        <v>0</v>
      </c>
      <c r="AL46" s="64">
        <f t="shared" si="22"/>
        <v>0</v>
      </c>
      <c r="AM46" s="180"/>
      <c r="AN46" s="181"/>
      <c r="AO46" s="182"/>
      <c r="AP46" s="64">
        <f t="shared" si="23"/>
        <v>0</v>
      </c>
      <c r="AQ46" s="64">
        <f>IF(AND(COUNTIF(L46:L46:$L$129,L46)=1,F46+G46&gt;0),L46&amp;"-","")</f>
      </c>
      <c r="AR46" s="64">
        <f t="shared" si="24"/>
      </c>
      <c r="AS46" s="202"/>
      <c r="AT46" s="202"/>
      <c r="AU46" s="203">
        <f t="shared" si="25"/>
      </c>
    </row>
    <row r="47" spans="3:47" ht="10.5">
      <c r="C47" s="70">
        <v>45</v>
      </c>
      <c r="D47" s="93" t="str">
        <f>IF(D27="Spieler 4","Verlierer 25",IF(E27="Spieler 36","Verlierer 25",IF(D27=E27,"Freilos",IF(E27="Freilos",E27,IF(D27="Freilos",D27,IF(F27&gt;G27,E27,IF(G27&gt;F27,D27,"Verlierer 25")))))))</f>
        <v>Verlierer 25</v>
      </c>
      <c r="E47" s="94" t="str">
        <f>IF(D28="Spieler 20","Verlierer 26",IF(E28="Spieler 52","Verlierer 26",IF(D28=E28,"Freilos",IF(E28="Freilos",E28,IF(D28="Freilos",D28,IF(F28&gt;G28,E28,IF(G28&gt;F28,D28,"Verlierer 26")))))))</f>
        <v>Verlierer 26</v>
      </c>
      <c r="F47" s="79"/>
      <c r="G47" s="80"/>
      <c r="H47" s="95"/>
      <c r="I47" s="95"/>
      <c r="J47" s="95"/>
      <c r="K47" s="96"/>
      <c r="L47" s="217"/>
      <c r="M47" s="92">
        <f t="shared" si="27"/>
      </c>
      <c r="N47" s="64">
        <f t="shared" si="0"/>
        <v>0</v>
      </c>
      <c r="O47" s="64">
        <f t="shared" si="1"/>
        <v>0</v>
      </c>
      <c r="P47" s="64">
        <f t="shared" si="8"/>
        <v>0</v>
      </c>
      <c r="Q47" s="64">
        <f t="shared" si="9"/>
        <v>0</v>
      </c>
      <c r="R47" s="64">
        <f t="shared" si="10"/>
        <v>0</v>
      </c>
      <c r="S47" s="64">
        <f t="shared" si="11"/>
        <v>0</v>
      </c>
      <c r="T47" s="178">
        <f t="shared" si="2"/>
        <v>0</v>
      </c>
      <c r="U47" s="178">
        <f t="shared" si="12"/>
        <v>0</v>
      </c>
      <c r="V47" s="64">
        <v>45</v>
      </c>
      <c r="W47" s="64" t="str">
        <f>IF(Auslosung_Turnierdaten!F53="","Spieler 45",Auslosung_Turnierdaten!F53)</f>
        <v>Spieler 45</v>
      </c>
      <c r="X47" s="64">
        <f t="shared" si="28"/>
        <v>0</v>
      </c>
      <c r="Y47" s="64">
        <f t="shared" si="29"/>
        <v>0</v>
      </c>
      <c r="Z47" s="64">
        <f t="shared" si="30"/>
        <v>0</v>
      </c>
      <c r="AA47" s="64">
        <f t="shared" si="13"/>
        <v>0</v>
      </c>
      <c r="AB47" s="64">
        <f t="shared" si="31"/>
        <v>0</v>
      </c>
      <c r="AC47" s="64">
        <f t="shared" si="14"/>
        <v>0</v>
      </c>
      <c r="AD47" s="64">
        <f t="shared" si="15"/>
        <v>0</v>
      </c>
      <c r="AE47" s="179">
        <f t="shared" si="16"/>
        <v>0</v>
      </c>
      <c r="AF47" s="64">
        <f t="shared" si="17"/>
        <v>0</v>
      </c>
      <c r="AG47" s="179">
        <f t="shared" si="18"/>
        <v>0</v>
      </c>
      <c r="AH47" s="179">
        <f t="shared" si="32"/>
        <v>0</v>
      </c>
      <c r="AI47" s="64">
        <f t="shared" si="19"/>
        <v>0</v>
      </c>
      <c r="AJ47" s="64">
        <f t="shared" si="20"/>
        <v>0</v>
      </c>
      <c r="AK47" s="64">
        <f t="shared" si="21"/>
        <v>0</v>
      </c>
      <c r="AL47" s="64">
        <f t="shared" si="22"/>
        <v>0</v>
      </c>
      <c r="AM47" s="180"/>
      <c r="AN47" s="181"/>
      <c r="AO47" s="182"/>
      <c r="AP47" s="64">
        <f t="shared" si="23"/>
        <v>0</v>
      </c>
      <c r="AQ47" s="64">
        <f>IF(AND(COUNTIF(L47:L47:$L$129,L47)=1,F47+G47&gt;0),L47&amp;"-","")</f>
      </c>
      <c r="AR47" s="64">
        <f t="shared" si="24"/>
      </c>
      <c r="AS47" s="202"/>
      <c r="AT47" s="202"/>
      <c r="AU47" s="203">
        <f t="shared" si="25"/>
      </c>
    </row>
    <row r="48" spans="3:47" ht="10.5">
      <c r="C48" s="70">
        <v>46</v>
      </c>
      <c r="D48" s="93" t="str">
        <f>IF(D29="Spieler 12","Verlierer 27",IF(E29="Spieler 44","Verlierer 27",IF(D29=E29,"Freilos",IF(E29="Freilos",E29,IF(D29="Freilos",D29,IF(F29&gt;G29,E29,IF(G29&gt;F29,D29,"Verlierer 27")))))))</f>
        <v>Verlierer 27</v>
      </c>
      <c r="E48" s="94" t="str">
        <f>IF(D30="Spieler 28","Verlierer 28",IF(E30="Spieler 60","Verlierer 28",IF(D30=E30,"Freilos",IF(E30="Freilos",E30,IF(D30="Freilos",D30,IF(F30&gt;G30,E30,IF(G30&gt;F30,D30,"Verlierer 28")))))))</f>
        <v>Verlierer 28</v>
      </c>
      <c r="F48" s="79"/>
      <c r="G48" s="80"/>
      <c r="H48" s="95"/>
      <c r="I48" s="95"/>
      <c r="J48" s="95"/>
      <c r="K48" s="96"/>
      <c r="L48" s="217"/>
      <c r="M48" s="92">
        <f t="shared" si="27"/>
      </c>
      <c r="N48" s="64">
        <f t="shared" si="0"/>
        <v>0</v>
      </c>
      <c r="O48" s="64">
        <f t="shared" si="1"/>
        <v>0</v>
      </c>
      <c r="P48" s="64">
        <f t="shared" si="8"/>
        <v>0</v>
      </c>
      <c r="Q48" s="64">
        <f t="shared" si="9"/>
        <v>0</v>
      </c>
      <c r="R48" s="64">
        <f t="shared" si="10"/>
        <v>0</v>
      </c>
      <c r="S48" s="64">
        <f t="shared" si="11"/>
        <v>0</v>
      </c>
      <c r="T48" s="178">
        <f t="shared" si="2"/>
        <v>0</v>
      </c>
      <c r="U48" s="178">
        <f t="shared" si="12"/>
        <v>0</v>
      </c>
      <c r="V48" s="64">
        <v>46</v>
      </c>
      <c r="W48" s="64" t="str">
        <f>IF(Auslosung_Turnierdaten!F54="","Spieler 46",Auslosung_Turnierdaten!F54)</f>
        <v>Spieler 46</v>
      </c>
      <c r="X48" s="64">
        <f t="shared" si="28"/>
        <v>0</v>
      </c>
      <c r="Y48" s="64">
        <f t="shared" si="29"/>
        <v>0</v>
      </c>
      <c r="Z48" s="64">
        <f t="shared" si="30"/>
        <v>0</v>
      </c>
      <c r="AA48" s="64">
        <f t="shared" si="13"/>
        <v>0</v>
      </c>
      <c r="AB48" s="64">
        <f t="shared" si="31"/>
        <v>0</v>
      </c>
      <c r="AC48" s="64">
        <f t="shared" si="14"/>
        <v>0</v>
      </c>
      <c r="AD48" s="64">
        <f t="shared" si="15"/>
        <v>0</v>
      </c>
      <c r="AE48" s="179">
        <f t="shared" si="16"/>
        <v>0</v>
      </c>
      <c r="AF48" s="64">
        <f t="shared" si="17"/>
        <v>0</v>
      </c>
      <c r="AG48" s="179">
        <f t="shared" si="18"/>
        <v>0</v>
      </c>
      <c r="AH48" s="179">
        <f t="shared" si="32"/>
        <v>0</v>
      </c>
      <c r="AI48" s="64">
        <f t="shared" si="19"/>
        <v>0</v>
      </c>
      <c r="AJ48" s="64">
        <f t="shared" si="20"/>
        <v>0</v>
      </c>
      <c r="AK48" s="64">
        <f t="shared" si="21"/>
        <v>0</v>
      </c>
      <c r="AL48" s="64">
        <f t="shared" si="22"/>
        <v>0</v>
      </c>
      <c r="AM48" s="180"/>
      <c r="AN48" s="181"/>
      <c r="AO48" s="182"/>
      <c r="AP48" s="64">
        <f t="shared" si="23"/>
        <v>0</v>
      </c>
      <c r="AQ48" s="64">
        <f>IF(AND(COUNTIF(L48:L48:$L$129,L48)=1,F48+G48&gt;0),L48&amp;"-","")</f>
      </c>
      <c r="AR48" s="64">
        <f t="shared" si="24"/>
      </c>
      <c r="AS48" s="202"/>
      <c r="AT48" s="202"/>
      <c r="AU48" s="203">
        <f t="shared" si="25"/>
      </c>
    </row>
    <row r="49" spans="3:47" ht="10.5">
      <c r="C49" s="70">
        <v>47</v>
      </c>
      <c r="D49" s="93" t="str">
        <f>IF(D31="Spieler 8","Verlierer 29",IF(E31="Spieler 40","Verlierer 29",IF(D31=E31,"Freilos",IF(E31="Freilos",E31,IF(D31="Freilos",D31,IF(F31&gt;G31,E31,IF(G31&gt;F31,D31,"Verlierer 29")))))))</f>
        <v>Verlierer 29</v>
      </c>
      <c r="E49" s="94" t="str">
        <f>IF(D32="Spieler 24","Verlierer 30",IF(E32="Spieler 56","Verlierer 30",IF(D32=E32,"Freilos",IF(E32="Freilos",E32,IF(D32="Freilos",D32,IF(F32&gt;G32,E32,IF(G32&gt;F32,D32,"Verlierer 30")))))))</f>
        <v>Verlierer 30</v>
      </c>
      <c r="F49" s="79"/>
      <c r="G49" s="80"/>
      <c r="H49" s="95"/>
      <c r="I49" s="95"/>
      <c r="J49" s="95"/>
      <c r="K49" s="96"/>
      <c r="L49" s="217"/>
      <c r="M49" s="92">
        <f t="shared" si="27"/>
      </c>
      <c r="N49" s="64">
        <f t="shared" si="0"/>
        <v>0</v>
      </c>
      <c r="O49" s="64">
        <f t="shared" si="1"/>
        <v>0</v>
      </c>
      <c r="P49" s="64">
        <f t="shared" si="8"/>
        <v>0</v>
      </c>
      <c r="Q49" s="64">
        <f t="shared" si="9"/>
        <v>0</v>
      </c>
      <c r="R49" s="64">
        <f t="shared" si="10"/>
        <v>0</v>
      </c>
      <c r="S49" s="64">
        <f t="shared" si="11"/>
        <v>0</v>
      </c>
      <c r="T49" s="178">
        <f t="shared" si="2"/>
        <v>0</v>
      </c>
      <c r="U49" s="178">
        <f t="shared" si="12"/>
        <v>0</v>
      </c>
      <c r="V49" s="64">
        <v>47</v>
      </c>
      <c r="W49" s="64" t="str">
        <f>IF(Auslosung_Turnierdaten!F55="","Spieler 47",Auslosung_Turnierdaten!F55)</f>
        <v>Spieler 47</v>
      </c>
      <c r="X49" s="64">
        <f t="shared" si="28"/>
        <v>0</v>
      </c>
      <c r="Y49" s="64">
        <f t="shared" si="29"/>
        <v>0</v>
      </c>
      <c r="Z49" s="64">
        <f t="shared" si="30"/>
        <v>0</v>
      </c>
      <c r="AA49" s="64">
        <f t="shared" si="13"/>
        <v>0</v>
      </c>
      <c r="AB49" s="64">
        <f t="shared" si="31"/>
        <v>0</v>
      </c>
      <c r="AC49" s="64">
        <f t="shared" si="14"/>
        <v>0</v>
      </c>
      <c r="AD49" s="64">
        <f t="shared" si="15"/>
        <v>0</v>
      </c>
      <c r="AE49" s="179">
        <f t="shared" si="16"/>
        <v>0</v>
      </c>
      <c r="AF49" s="64">
        <f t="shared" si="17"/>
        <v>0</v>
      </c>
      <c r="AG49" s="179">
        <f t="shared" si="18"/>
        <v>0</v>
      </c>
      <c r="AH49" s="179">
        <f t="shared" si="32"/>
        <v>0</v>
      </c>
      <c r="AI49" s="64">
        <f t="shared" si="19"/>
        <v>0</v>
      </c>
      <c r="AJ49" s="64">
        <f t="shared" si="20"/>
        <v>0</v>
      </c>
      <c r="AK49" s="64">
        <f t="shared" si="21"/>
        <v>0</v>
      </c>
      <c r="AL49" s="64">
        <f t="shared" si="22"/>
        <v>0</v>
      </c>
      <c r="AM49" s="180"/>
      <c r="AN49" s="181"/>
      <c r="AO49" s="182"/>
      <c r="AP49" s="64">
        <f t="shared" si="23"/>
        <v>0</v>
      </c>
      <c r="AQ49" s="64">
        <f>IF(AND(COUNTIF(L49:L49:$L$129,L49)=1,F49+G49&gt;0),L49&amp;"-","")</f>
      </c>
      <c r="AR49" s="64">
        <f t="shared" si="24"/>
      </c>
      <c r="AS49" s="202"/>
      <c r="AT49" s="202"/>
      <c r="AU49" s="203">
        <f t="shared" si="25"/>
      </c>
    </row>
    <row r="50" spans="3:47" ht="11.25" thickBot="1">
      <c r="C50" s="70">
        <v>48</v>
      </c>
      <c r="D50" s="97" t="str">
        <f>IF(D33="Spieler 16","Verlierer 31",IF(E33="Spieler 48","Verlierer 31",IF(D33=E33,"Freilos",IF(E33="Freilos",E33,IF(D33="Freilos",D33,IF(F33&gt;G33,E33,IF(G33&gt;F33,D33,"Verlierer 31")))))))</f>
        <v>Verlierer 31</v>
      </c>
      <c r="E50" s="98" t="str">
        <f>IF(D34="Spieler 32","Verlierer 32",IF(E34="Spieler 64","Verlierer 32",IF(D34=E34,"Freilos",IF(E34="Freilos",E34,IF(D34="Freilos",D34,IF(F34&gt;G34,E34,IF(G34&gt;F34,D34,"Verlierer 32")))))))</f>
        <v>Verlierer 32</v>
      </c>
      <c r="F50" s="79"/>
      <c r="G50" s="80"/>
      <c r="H50" s="99"/>
      <c r="I50" s="99"/>
      <c r="J50" s="99"/>
      <c r="K50" s="100"/>
      <c r="L50" s="217"/>
      <c r="M50" s="92">
        <f t="shared" si="27"/>
      </c>
      <c r="N50" s="64">
        <f t="shared" si="0"/>
        <v>0</v>
      </c>
      <c r="O50" s="64">
        <f t="shared" si="1"/>
        <v>0</v>
      </c>
      <c r="P50" s="64">
        <f t="shared" si="8"/>
        <v>0</v>
      </c>
      <c r="Q50" s="64">
        <f t="shared" si="9"/>
        <v>0</v>
      </c>
      <c r="R50" s="64">
        <f t="shared" si="10"/>
        <v>0</v>
      </c>
      <c r="S50" s="64">
        <f t="shared" si="11"/>
        <v>0</v>
      </c>
      <c r="T50" s="178">
        <f t="shared" si="2"/>
        <v>0</v>
      </c>
      <c r="U50" s="178">
        <f t="shared" si="12"/>
        <v>0</v>
      </c>
      <c r="V50" s="64">
        <v>48</v>
      </c>
      <c r="W50" s="64" t="str">
        <f>IF(Auslosung_Turnierdaten!F56="","Spieler 48",Auslosung_Turnierdaten!F56)</f>
        <v>Spieler 48</v>
      </c>
      <c r="X50" s="64">
        <f t="shared" si="28"/>
        <v>0</v>
      </c>
      <c r="Y50" s="64">
        <f t="shared" si="29"/>
        <v>0</v>
      </c>
      <c r="Z50" s="64">
        <f t="shared" si="30"/>
        <v>0</v>
      </c>
      <c r="AA50" s="64">
        <f t="shared" si="13"/>
        <v>0</v>
      </c>
      <c r="AB50" s="64">
        <f t="shared" si="31"/>
        <v>0</v>
      </c>
      <c r="AC50" s="64">
        <f t="shared" si="14"/>
        <v>0</v>
      </c>
      <c r="AD50" s="64">
        <f t="shared" si="15"/>
        <v>0</v>
      </c>
      <c r="AE50" s="179">
        <f t="shared" si="16"/>
        <v>0</v>
      </c>
      <c r="AF50" s="64">
        <f t="shared" si="17"/>
        <v>0</v>
      </c>
      <c r="AG50" s="179">
        <f t="shared" si="18"/>
        <v>0</v>
      </c>
      <c r="AH50" s="179">
        <f t="shared" si="32"/>
        <v>0</v>
      </c>
      <c r="AI50" s="64">
        <f t="shared" si="19"/>
        <v>0</v>
      </c>
      <c r="AJ50" s="64">
        <f t="shared" si="20"/>
        <v>0</v>
      </c>
      <c r="AK50" s="64">
        <f t="shared" si="21"/>
        <v>0</v>
      </c>
      <c r="AL50" s="64">
        <f t="shared" si="22"/>
        <v>0</v>
      </c>
      <c r="AM50" s="180"/>
      <c r="AN50" s="181"/>
      <c r="AO50" s="182"/>
      <c r="AP50" s="64">
        <f t="shared" si="23"/>
        <v>0</v>
      </c>
      <c r="AQ50" s="64">
        <f>IF(AND(COUNTIF(L50:L50:$L$129,L50)=1,F50+G50&gt;0),L50&amp;"-","")</f>
      </c>
      <c r="AR50" s="64">
        <f t="shared" si="24"/>
      </c>
      <c r="AS50" s="202"/>
      <c r="AT50" s="202"/>
      <c r="AU50" s="203">
        <f t="shared" si="25"/>
      </c>
    </row>
    <row r="51" spans="2:47" ht="11.25" thickBot="1">
      <c r="B51" s="101" t="s">
        <v>1063</v>
      </c>
      <c r="C51" s="70">
        <v>49</v>
      </c>
      <c r="D51" s="183" t="str">
        <f>IF(D3="Spieler 1","Sieger 1",IF(E3="Spieler 33","Sieger 1",IF(D3=E3,"Freilos",IF(E3="Freilos",D3,IF(D3="Freilos",E3,IF(F3&gt;G3,D3,IF(G3&gt;F3,E3,"Sieger 1")))))))</f>
        <v>Sieger 1</v>
      </c>
      <c r="E51" s="208" t="str">
        <f>IF(D4="Spieler 17","Sieger 2",IF(E4="Spieler 49","Sieger 2",IF(D4=E4,"Freilos",IF(E4="Freilos",D4,IF(D4="Freilos",E4,IF(F4&gt;G4,D4,IF(G4&gt;F4,E4,"Sieger 2")))))))</f>
        <v>Sieger 2</v>
      </c>
      <c r="F51" s="79"/>
      <c r="G51" s="80"/>
      <c r="H51" s="102"/>
      <c r="I51" s="102"/>
      <c r="J51" s="102"/>
      <c r="K51" s="103"/>
      <c r="L51" s="217"/>
      <c r="N51" s="64">
        <f t="shared" si="0"/>
        <v>0</v>
      </c>
      <c r="O51" s="64">
        <f t="shared" si="1"/>
        <v>0</v>
      </c>
      <c r="P51" s="64">
        <f t="shared" si="8"/>
        <v>0</v>
      </c>
      <c r="Q51" s="64">
        <f t="shared" si="9"/>
        <v>0</v>
      </c>
      <c r="R51" s="64">
        <f t="shared" si="10"/>
        <v>0</v>
      </c>
      <c r="S51" s="64">
        <f t="shared" si="11"/>
        <v>0</v>
      </c>
      <c r="T51" s="178">
        <f aca="true" t="shared" si="33" ref="T51:T66">IF(E51="Freilos",6,IF(F51&gt;G51,6,0))</f>
        <v>0</v>
      </c>
      <c r="U51" s="178">
        <f aca="true" t="shared" si="34" ref="U51:U66">IF(D51="Freilos",6,IF(G51&gt;F51,6,0))</f>
        <v>0</v>
      </c>
      <c r="V51" s="64">
        <v>49</v>
      </c>
      <c r="W51" s="64" t="str">
        <f>IF(Auslosung_Turnierdaten!F57="","Spieler 49",Auslosung_Turnierdaten!F57)</f>
        <v>Spieler 49</v>
      </c>
      <c r="X51" s="64">
        <f t="shared" si="28"/>
        <v>0</v>
      </c>
      <c r="Y51" s="64">
        <f t="shared" si="29"/>
        <v>0</v>
      </c>
      <c r="Z51" s="64">
        <f t="shared" si="30"/>
        <v>0</v>
      </c>
      <c r="AA51" s="64">
        <f t="shared" si="13"/>
        <v>0</v>
      </c>
      <c r="AB51" s="64">
        <f t="shared" si="31"/>
        <v>0</v>
      </c>
      <c r="AC51" s="64">
        <f t="shared" si="14"/>
        <v>0</v>
      </c>
      <c r="AD51" s="64">
        <f t="shared" si="15"/>
        <v>0</v>
      </c>
      <c r="AE51" s="179">
        <f t="shared" si="16"/>
        <v>0</v>
      </c>
      <c r="AF51" s="64">
        <f t="shared" si="17"/>
        <v>0</v>
      </c>
      <c r="AG51" s="179">
        <f t="shared" si="18"/>
        <v>0</v>
      </c>
      <c r="AH51" s="179">
        <f t="shared" si="32"/>
        <v>0</v>
      </c>
      <c r="AI51" s="64">
        <f t="shared" si="19"/>
        <v>0</v>
      </c>
      <c r="AJ51" s="64">
        <f t="shared" si="20"/>
        <v>0</v>
      </c>
      <c r="AK51" s="64">
        <f t="shared" si="21"/>
        <v>0</v>
      </c>
      <c r="AL51" s="64">
        <f t="shared" si="22"/>
        <v>0</v>
      </c>
      <c r="AM51" s="180"/>
      <c r="AN51" s="181"/>
      <c r="AO51" s="182"/>
      <c r="AP51" s="64">
        <f t="shared" si="23"/>
        <v>0</v>
      </c>
      <c r="AQ51" s="64">
        <f>IF(AND(COUNTIF(L51:L51:$L$129,L51)=1,F51+G51&gt;0),L51&amp;"-","")</f>
      </c>
      <c r="AR51" s="64">
        <f t="shared" si="24"/>
      </c>
      <c r="AS51" s="202"/>
      <c r="AT51" s="202"/>
      <c r="AU51" s="203">
        <f t="shared" si="25"/>
      </c>
    </row>
    <row r="52" spans="3:47" ht="10.5">
      <c r="C52" s="70">
        <v>50</v>
      </c>
      <c r="D52" s="184" t="str">
        <f>IF(D5="Spieler 9","Sieger 3",IF(E5="Spieler 41","Sieger 3",IF(D5=E5,"Freilos",IF(E5="Freilos",D5,IF(D5="Freilos",E5,IF(F5&gt;G5,D5,IF(G5&gt;F5,E5,"Sieger 3")))))))</f>
        <v>Sieger 3</v>
      </c>
      <c r="E52" s="206" t="str">
        <f>IF(D6="Spieler 25","Sieger 4",IF(E6="Spieler 57","Sieger 4",IF(D6=E6,"Freilos",IF(E6="Freilos",D6,IF(D6="Freilos",E6,IF(F6&gt;G6,D6,IF(G6&gt;F6,E6,"Sieger 4")))))))</f>
        <v>Sieger 4</v>
      </c>
      <c r="F52" s="79"/>
      <c r="G52" s="80"/>
      <c r="H52" s="104"/>
      <c r="I52" s="104"/>
      <c r="J52" s="104"/>
      <c r="K52" s="105"/>
      <c r="L52" s="217"/>
      <c r="N52" s="64">
        <f t="shared" si="0"/>
        <v>0</v>
      </c>
      <c r="O52" s="64">
        <f t="shared" si="1"/>
        <v>0</v>
      </c>
      <c r="P52" s="64">
        <f t="shared" si="8"/>
        <v>0</v>
      </c>
      <c r="Q52" s="64">
        <f t="shared" si="9"/>
        <v>0</v>
      </c>
      <c r="R52" s="64">
        <f t="shared" si="10"/>
        <v>0</v>
      </c>
      <c r="S52" s="64">
        <f t="shared" si="11"/>
        <v>0</v>
      </c>
      <c r="T52" s="178">
        <f t="shared" si="33"/>
        <v>0</v>
      </c>
      <c r="U52" s="178">
        <f t="shared" si="34"/>
        <v>0</v>
      </c>
      <c r="V52" s="64">
        <v>50</v>
      </c>
      <c r="W52" s="64" t="str">
        <f>IF(Auslosung_Turnierdaten!F58="","Spieler 50",Auslosung_Turnierdaten!F58)</f>
        <v>Spieler 50</v>
      </c>
      <c r="X52" s="64">
        <f t="shared" si="28"/>
        <v>0</v>
      </c>
      <c r="Y52" s="64">
        <f t="shared" si="29"/>
        <v>0</v>
      </c>
      <c r="Z52" s="64">
        <f t="shared" si="30"/>
        <v>0</v>
      </c>
      <c r="AA52" s="64">
        <f t="shared" si="13"/>
        <v>0</v>
      </c>
      <c r="AB52" s="64">
        <f t="shared" si="31"/>
        <v>0</v>
      </c>
      <c r="AC52" s="64">
        <f t="shared" si="14"/>
        <v>0</v>
      </c>
      <c r="AD52" s="64">
        <f t="shared" si="15"/>
        <v>0</v>
      </c>
      <c r="AE52" s="179">
        <f t="shared" si="16"/>
        <v>0</v>
      </c>
      <c r="AF52" s="64">
        <f t="shared" si="17"/>
        <v>0</v>
      </c>
      <c r="AG52" s="179">
        <f t="shared" si="18"/>
        <v>0</v>
      </c>
      <c r="AH52" s="179">
        <f t="shared" si="32"/>
        <v>0</v>
      </c>
      <c r="AI52" s="64">
        <f t="shared" si="19"/>
        <v>0</v>
      </c>
      <c r="AJ52" s="64">
        <f t="shared" si="20"/>
        <v>0</v>
      </c>
      <c r="AK52" s="64">
        <f t="shared" si="21"/>
        <v>0</v>
      </c>
      <c r="AL52" s="64">
        <f t="shared" si="22"/>
        <v>0</v>
      </c>
      <c r="AM52" s="180"/>
      <c r="AN52" s="181"/>
      <c r="AO52" s="182"/>
      <c r="AP52" s="64">
        <f t="shared" si="23"/>
        <v>0</v>
      </c>
      <c r="AQ52" s="64">
        <f>IF(AND(COUNTIF(L52:L52:$L$129,L52)=1,F52+G52&gt;0),L52&amp;"-","")</f>
      </c>
      <c r="AR52" s="64">
        <f t="shared" si="24"/>
      </c>
      <c r="AS52" s="202"/>
      <c r="AT52" s="202"/>
      <c r="AU52" s="203">
        <f t="shared" si="25"/>
      </c>
    </row>
    <row r="53" spans="3:47" ht="10.5">
      <c r="C53" s="70">
        <v>51</v>
      </c>
      <c r="D53" s="184" t="str">
        <f>IF(D7="Spieler 5","Sieger 5",IF(E7="Spieler 37","Sieger 5",IF(D7=E7,"Freilos",IF(E7="Freilos",D7,IF(D7="Freilos",E7,IF(F7&gt;G7,D7,IF(G7&gt;F7,E7,"Sieger 5")))))))</f>
        <v>Sieger 5</v>
      </c>
      <c r="E53" s="206" t="str">
        <f>IF(D8="Spieler 21","Sieger 6",IF(E8="Spieler 53","Sieger 6",IF(D8=E8,"Freilos",IF(E8="Freilos",D8,IF(D8="Freilos",E8,IF(F8&gt;G8,D8,IF(G8&gt;F8,E8,"Sieger 6")))))))</f>
        <v>Sieger 6</v>
      </c>
      <c r="F53" s="79"/>
      <c r="G53" s="80"/>
      <c r="H53" s="104"/>
      <c r="I53" s="104"/>
      <c r="J53" s="104"/>
      <c r="K53" s="105"/>
      <c r="L53" s="217"/>
      <c r="M53" s="86"/>
      <c r="N53" s="64">
        <f t="shared" si="0"/>
        <v>0</v>
      </c>
      <c r="O53" s="64">
        <f t="shared" si="1"/>
        <v>0</v>
      </c>
      <c r="P53" s="64">
        <f t="shared" si="8"/>
        <v>0</v>
      </c>
      <c r="Q53" s="64">
        <f t="shared" si="9"/>
        <v>0</v>
      </c>
      <c r="R53" s="64">
        <f t="shared" si="10"/>
        <v>0</v>
      </c>
      <c r="S53" s="64">
        <f t="shared" si="11"/>
        <v>0</v>
      </c>
      <c r="T53" s="178">
        <f t="shared" si="33"/>
        <v>0</v>
      </c>
      <c r="U53" s="178">
        <f t="shared" si="34"/>
        <v>0</v>
      </c>
      <c r="V53" s="64">
        <v>51</v>
      </c>
      <c r="W53" s="64" t="str">
        <f>IF(Auslosung_Turnierdaten!F59="","Spieler 51",Auslosung_Turnierdaten!F59)</f>
        <v>Spieler 51</v>
      </c>
      <c r="X53" s="64">
        <f t="shared" si="28"/>
        <v>0</v>
      </c>
      <c r="Y53" s="64">
        <f t="shared" si="29"/>
        <v>0</v>
      </c>
      <c r="Z53" s="64">
        <f t="shared" si="30"/>
        <v>0</v>
      </c>
      <c r="AA53" s="64">
        <f t="shared" si="13"/>
        <v>0</v>
      </c>
      <c r="AB53" s="64">
        <f t="shared" si="31"/>
        <v>0</v>
      </c>
      <c r="AC53" s="64">
        <f t="shared" si="14"/>
        <v>0</v>
      </c>
      <c r="AD53" s="64">
        <f t="shared" si="15"/>
        <v>0</v>
      </c>
      <c r="AE53" s="179">
        <f t="shared" si="16"/>
        <v>0</v>
      </c>
      <c r="AF53" s="64">
        <f t="shared" si="17"/>
        <v>0</v>
      </c>
      <c r="AG53" s="179">
        <f t="shared" si="18"/>
        <v>0</v>
      </c>
      <c r="AH53" s="179">
        <f t="shared" si="32"/>
        <v>0</v>
      </c>
      <c r="AI53" s="64">
        <f t="shared" si="19"/>
        <v>0</v>
      </c>
      <c r="AJ53" s="64">
        <f t="shared" si="20"/>
        <v>0</v>
      </c>
      <c r="AK53" s="64">
        <f t="shared" si="21"/>
        <v>0</v>
      </c>
      <c r="AL53" s="64">
        <f t="shared" si="22"/>
        <v>0</v>
      </c>
      <c r="AM53" s="180"/>
      <c r="AN53" s="181"/>
      <c r="AO53" s="182"/>
      <c r="AP53" s="64">
        <f t="shared" si="23"/>
        <v>0</v>
      </c>
      <c r="AQ53" s="64">
        <f>IF(AND(COUNTIF(L53:L53:$L$129,L53)=1,F53+G53&gt;0),L53&amp;"-","")</f>
      </c>
      <c r="AR53" s="64">
        <f t="shared" si="24"/>
      </c>
      <c r="AS53" s="202"/>
      <c r="AT53" s="202"/>
      <c r="AU53" s="203">
        <f t="shared" si="25"/>
      </c>
    </row>
    <row r="54" spans="3:47" ht="10.5">
      <c r="C54" s="70">
        <v>52</v>
      </c>
      <c r="D54" s="184" t="str">
        <f>IF(D9="Spieler 13","Sieger 7",IF(E9="Spieler 45","Sieger 7",IF(D9=E9,"Freilos",IF(E9="Freilos",D9,IF(D9="Freilos",E9,IF(F9&gt;G9,D9,IF(G9&gt;F9,E9,"Sieger 7")))))))</f>
        <v>Sieger 7</v>
      </c>
      <c r="E54" s="206" t="str">
        <f>IF(D10="Spieler 29","Sieger 8",IF(E10="Spieler 61","Sieger 8",IF(D10=E10,"Freilos",IF(E10="Freilos",D10,IF(D10="Freilos",E10,IF(F10&gt;G10,D10,IF(G10&gt;F10,E10,"Sieger 8")))))))</f>
        <v>Sieger 8</v>
      </c>
      <c r="F54" s="79"/>
      <c r="G54" s="80"/>
      <c r="H54" s="104"/>
      <c r="I54" s="104"/>
      <c r="J54" s="104"/>
      <c r="K54" s="105"/>
      <c r="L54" s="217"/>
      <c r="M54" s="86"/>
      <c r="N54" s="64">
        <f t="shared" si="0"/>
        <v>0</v>
      </c>
      <c r="O54" s="64">
        <f t="shared" si="1"/>
        <v>0</v>
      </c>
      <c r="P54" s="64">
        <f t="shared" si="8"/>
        <v>0</v>
      </c>
      <c r="Q54" s="64">
        <f t="shared" si="9"/>
        <v>0</v>
      </c>
      <c r="R54" s="64">
        <f t="shared" si="10"/>
        <v>0</v>
      </c>
      <c r="S54" s="64">
        <f t="shared" si="11"/>
        <v>0</v>
      </c>
      <c r="T54" s="178">
        <f t="shared" si="33"/>
        <v>0</v>
      </c>
      <c r="U54" s="178">
        <f t="shared" si="34"/>
        <v>0</v>
      </c>
      <c r="V54" s="64">
        <v>52</v>
      </c>
      <c r="W54" s="64" t="str">
        <f>IF(Auslosung_Turnierdaten!F60="","Spieler 52",Auslosung_Turnierdaten!F60)</f>
        <v>Spieler 52</v>
      </c>
      <c r="X54" s="64">
        <f t="shared" si="28"/>
        <v>0</v>
      </c>
      <c r="Y54" s="64">
        <f t="shared" si="29"/>
        <v>0</v>
      </c>
      <c r="Z54" s="64">
        <f t="shared" si="30"/>
        <v>0</v>
      </c>
      <c r="AA54" s="64">
        <f t="shared" si="13"/>
        <v>0</v>
      </c>
      <c r="AB54" s="64">
        <f t="shared" si="31"/>
        <v>0</v>
      </c>
      <c r="AC54" s="64">
        <f t="shared" si="14"/>
        <v>0</v>
      </c>
      <c r="AD54" s="64">
        <f t="shared" si="15"/>
        <v>0</v>
      </c>
      <c r="AE54" s="179">
        <f t="shared" si="16"/>
        <v>0</v>
      </c>
      <c r="AF54" s="64">
        <f t="shared" si="17"/>
        <v>0</v>
      </c>
      <c r="AG54" s="179">
        <f t="shared" si="18"/>
        <v>0</v>
      </c>
      <c r="AH54" s="179">
        <f t="shared" si="32"/>
        <v>0</v>
      </c>
      <c r="AI54" s="64">
        <f t="shared" si="19"/>
        <v>0</v>
      </c>
      <c r="AJ54" s="64">
        <f t="shared" si="20"/>
        <v>0</v>
      </c>
      <c r="AK54" s="64">
        <f t="shared" si="21"/>
        <v>0</v>
      </c>
      <c r="AL54" s="64">
        <f t="shared" si="22"/>
        <v>0</v>
      </c>
      <c r="AM54" s="180"/>
      <c r="AN54" s="181"/>
      <c r="AO54" s="182"/>
      <c r="AP54" s="64">
        <f t="shared" si="23"/>
        <v>0</v>
      </c>
      <c r="AQ54" s="64">
        <f>IF(AND(COUNTIF(L54:L54:$L$129,L54)=1,F54+G54&gt;0),L54&amp;"-","")</f>
      </c>
      <c r="AR54" s="64">
        <f t="shared" si="24"/>
      </c>
      <c r="AS54" s="202"/>
      <c r="AT54" s="202"/>
      <c r="AU54" s="203">
        <f t="shared" si="25"/>
      </c>
    </row>
    <row r="55" spans="3:47" ht="10.5">
      <c r="C55" s="70">
        <v>53</v>
      </c>
      <c r="D55" s="184" t="str">
        <f>IF(D11="Spieler 3","Sieger 9",IF(E11="Spieler 35","Sieger 9",IF(D11=E11,"Freilos",IF(E11="Freilos",D11,IF(D11="Freilos",E11,IF(F11&gt;G11,D11,IF(G11&gt;F11,E11,"Sieger 9")))))))</f>
        <v>Sieger 9</v>
      </c>
      <c r="E55" s="206" t="str">
        <f>IF(D12="Spieler 19","Sieger 10",IF(E12="Spieler 51","Sieger 10",IF(D12=E12,"Freilos",IF(E12="Freilos",D12,IF(D12="Freilos",E12,IF(F12&gt;G12,D12,IF(G12&gt;F12,E12,"Sieger 10")))))))</f>
        <v>Sieger 10</v>
      </c>
      <c r="F55" s="79"/>
      <c r="G55" s="80"/>
      <c r="H55" s="104"/>
      <c r="I55" s="104"/>
      <c r="J55" s="104"/>
      <c r="K55" s="105"/>
      <c r="L55" s="217"/>
      <c r="M55" s="86"/>
      <c r="N55" s="64">
        <f t="shared" si="0"/>
        <v>0</v>
      </c>
      <c r="O55" s="64">
        <f t="shared" si="1"/>
        <v>0</v>
      </c>
      <c r="P55" s="64">
        <f t="shared" si="8"/>
        <v>0</v>
      </c>
      <c r="Q55" s="64">
        <f t="shared" si="9"/>
        <v>0</v>
      </c>
      <c r="R55" s="64">
        <f t="shared" si="10"/>
        <v>0</v>
      </c>
      <c r="S55" s="64">
        <f t="shared" si="11"/>
        <v>0</v>
      </c>
      <c r="T55" s="178">
        <f t="shared" si="33"/>
        <v>0</v>
      </c>
      <c r="U55" s="178">
        <f t="shared" si="34"/>
        <v>0</v>
      </c>
      <c r="V55" s="64">
        <v>53</v>
      </c>
      <c r="W55" s="64" t="str">
        <f>IF(Auslosung_Turnierdaten!F61="","Spieler 53",Auslosung_Turnierdaten!F61)</f>
        <v>Spieler 53</v>
      </c>
      <c r="X55" s="64">
        <f t="shared" si="28"/>
        <v>0</v>
      </c>
      <c r="Y55" s="64">
        <f t="shared" si="29"/>
        <v>0</v>
      </c>
      <c r="Z55" s="64">
        <f t="shared" si="30"/>
        <v>0</v>
      </c>
      <c r="AA55" s="64">
        <f t="shared" si="13"/>
        <v>0</v>
      </c>
      <c r="AB55" s="64">
        <f t="shared" si="31"/>
        <v>0</v>
      </c>
      <c r="AC55" s="64">
        <f t="shared" si="14"/>
        <v>0</v>
      </c>
      <c r="AD55" s="64">
        <f t="shared" si="15"/>
        <v>0</v>
      </c>
      <c r="AE55" s="179">
        <f t="shared" si="16"/>
        <v>0</v>
      </c>
      <c r="AF55" s="64">
        <f t="shared" si="17"/>
        <v>0</v>
      </c>
      <c r="AG55" s="179">
        <f t="shared" si="18"/>
        <v>0</v>
      </c>
      <c r="AH55" s="179">
        <f t="shared" si="32"/>
        <v>0</v>
      </c>
      <c r="AI55" s="64">
        <f t="shared" si="19"/>
        <v>0</v>
      </c>
      <c r="AJ55" s="64">
        <f t="shared" si="20"/>
        <v>0</v>
      </c>
      <c r="AK55" s="64">
        <f t="shared" si="21"/>
        <v>0</v>
      </c>
      <c r="AL55" s="64">
        <f t="shared" si="22"/>
        <v>0</v>
      </c>
      <c r="AM55" s="180"/>
      <c r="AN55" s="181"/>
      <c r="AO55" s="182"/>
      <c r="AP55" s="64">
        <f t="shared" si="23"/>
        <v>0</v>
      </c>
      <c r="AQ55" s="64">
        <f>IF(AND(COUNTIF(L55:L55:$L$129,L55)=1,F55+G55&gt;0),L55&amp;"-","")</f>
      </c>
      <c r="AR55" s="64">
        <f t="shared" si="24"/>
      </c>
      <c r="AS55" s="202"/>
      <c r="AT55" s="202"/>
      <c r="AU55" s="203">
        <f t="shared" si="25"/>
      </c>
    </row>
    <row r="56" spans="3:47" ht="10.5">
      <c r="C56" s="70">
        <v>54</v>
      </c>
      <c r="D56" s="184" t="str">
        <f>IF(D13="Spieler 11","Sieger 11",IF(E13="Spieler 43","Sieger 11",IF(D13=E13,"Freilos",IF(E13="Freilos",D13,IF(D13="Freilos",E13,IF(F13&gt;G13,D13,IF(G13&gt;F13,E13,"Sieger 11")))))))</f>
        <v>Sieger 11</v>
      </c>
      <c r="E56" s="206" t="str">
        <f>IF(D14="Spieler 27","Sieger 12",IF(E14="Spieler 59","Sieger 12",IF(D14=E14,"Freilos",IF(E14="Freilos",D14,IF(D14="Freilos",E14,IF(F14&gt;G14,D14,IF(G14&gt;F14,E14,"Sieger 12")))))))</f>
        <v>Sieger 12</v>
      </c>
      <c r="F56" s="79"/>
      <c r="G56" s="80"/>
      <c r="H56" s="104"/>
      <c r="I56" s="104"/>
      <c r="J56" s="104"/>
      <c r="K56" s="105"/>
      <c r="L56" s="217"/>
      <c r="M56" s="86"/>
      <c r="N56" s="64">
        <f t="shared" si="0"/>
        <v>0</v>
      </c>
      <c r="O56" s="64">
        <f t="shared" si="1"/>
        <v>0</v>
      </c>
      <c r="P56" s="64">
        <f t="shared" si="8"/>
        <v>0</v>
      </c>
      <c r="Q56" s="64">
        <f t="shared" si="9"/>
        <v>0</v>
      </c>
      <c r="R56" s="64">
        <f t="shared" si="10"/>
        <v>0</v>
      </c>
      <c r="S56" s="64">
        <f t="shared" si="11"/>
        <v>0</v>
      </c>
      <c r="T56" s="178">
        <f t="shared" si="33"/>
        <v>0</v>
      </c>
      <c r="U56" s="178">
        <f t="shared" si="34"/>
        <v>0</v>
      </c>
      <c r="V56" s="64">
        <v>54</v>
      </c>
      <c r="W56" s="64" t="str">
        <f>IF(Auslosung_Turnierdaten!F62="","Spieler 54",Auslosung_Turnierdaten!F62)</f>
        <v>Spieler 54</v>
      </c>
      <c r="X56" s="64">
        <f t="shared" si="28"/>
        <v>0</v>
      </c>
      <c r="Y56" s="64">
        <f t="shared" si="29"/>
        <v>0</v>
      </c>
      <c r="Z56" s="64">
        <f t="shared" si="30"/>
        <v>0</v>
      </c>
      <c r="AA56" s="64">
        <f t="shared" si="13"/>
        <v>0</v>
      </c>
      <c r="AB56" s="64">
        <f t="shared" si="31"/>
        <v>0</v>
      </c>
      <c r="AC56" s="64">
        <f t="shared" si="14"/>
        <v>0</v>
      </c>
      <c r="AD56" s="64">
        <f t="shared" si="15"/>
        <v>0</v>
      </c>
      <c r="AE56" s="179">
        <f t="shared" si="16"/>
        <v>0</v>
      </c>
      <c r="AF56" s="64">
        <f t="shared" si="17"/>
        <v>0</v>
      </c>
      <c r="AG56" s="179">
        <f t="shared" si="18"/>
        <v>0</v>
      </c>
      <c r="AH56" s="179">
        <f t="shared" si="32"/>
        <v>0</v>
      </c>
      <c r="AI56" s="64">
        <f t="shared" si="19"/>
        <v>0</v>
      </c>
      <c r="AJ56" s="64">
        <f t="shared" si="20"/>
        <v>0</v>
      </c>
      <c r="AK56" s="64">
        <f t="shared" si="21"/>
        <v>0</v>
      </c>
      <c r="AL56" s="64">
        <f t="shared" si="22"/>
        <v>0</v>
      </c>
      <c r="AM56" s="180"/>
      <c r="AN56" s="181"/>
      <c r="AO56" s="182"/>
      <c r="AP56" s="64">
        <f t="shared" si="23"/>
        <v>0</v>
      </c>
      <c r="AQ56" s="64">
        <f>IF(AND(COUNTIF(L56:L56:$L$129,L56)=1,F56+G56&gt;0),L56&amp;"-","")</f>
      </c>
      <c r="AR56" s="64">
        <f t="shared" si="24"/>
      </c>
      <c r="AS56" s="202"/>
      <c r="AT56" s="202"/>
      <c r="AU56" s="203">
        <f t="shared" si="25"/>
      </c>
    </row>
    <row r="57" spans="3:47" ht="10.5">
      <c r="C57" s="70">
        <v>55</v>
      </c>
      <c r="D57" s="184" t="str">
        <f>IF(D15="Spieler 7","Sieger 13",IF(E15="Spieler 39","Sieger 13",IF(D15=E15,"Freilos",IF(E15="Freilos",D15,IF(D15="Freilos",E15,IF(F15&gt;G15,D15,IF(G15&gt;F15,E15,"Sieger 13")))))))</f>
        <v>Sieger 13</v>
      </c>
      <c r="E57" s="206" t="str">
        <f>IF(D16="Spieler 23","Sieger 14",IF(E16="Spieler 55","Sieger 14",IF(D16=E16,"Freilos",IF(E16="Freilos",D16,IF(D16="Freilos",E16,IF(F16&gt;G16,D16,IF(G16&gt;F16,E16,"Sieger 14")))))))</f>
        <v>Sieger 14</v>
      </c>
      <c r="F57" s="79"/>
      <c r="G57" s="80"/>
      <c r="H57" s="104"/>
      <c r="I57" s="104"/>
      <c r="J57" s="104"/>
      <c r="K57" s="105"/>
      <c r="L57" s="217"/>
      <c r="M57" s="86"/>
      <c r="N57" s="64">
        <f t="shared" si="0"/>
        <v>0</v>
      </c>
      <c r="O57" s="64">
        <f t="shared" si="1"/>
        <v>0</v>
      </c>
      <c r="P57" s="64">
        <f t="shared" si="8"/>
        <v>0</v>
      </c>
      <c r="Q57" s="64">
        <f t="shared" si="9"/>
        <v>0</v>
      </c>
      <c r="R57" s="64">
        <f t="shared" si="10"/>
        <v>0</v>
      </c>
      <c r="S57" s="64">
        <f t="shared" si="11"/>
        <v>0</v>
      </c>
      <c r="T57" s="178">
        <f t="shared" si="33"/>
        <v>0</v>
      </c>
      <c r="U57" s="178">
        <f t="shared" si="34"/>
        <v>0</v>
      </c>
      <c r="V57" s="64">
        <v>55</v>
      </c>
      <c r="W57" s="64" t="str">
        <f>IF(Auslosung_Turnierdaten!F63="","Spieler 55",Auslosung_Turnierdaten!F63)</f>
        <v>Spieler 55</v>
      </c>
      <c r="X57" s="64">
        <f t="shared" si="28"/>
        <v>0</v>
      </c>
      <c r="Y57" s="64">
        <f t="shared" si="29"/>
        <v>0</v>
      </c>
      <c r="Z57" s="64">
        <f t="shared" si="30"/>
        <v>0</v>
      </c>
      <c r="AA57" s="64">
        <f t="shared" si="13"/>
        <v>0</v>
      </c>
      <c r="AB57" s="64">
        <f t="shared" si="31"/>
        <v>0</v>
      </c>
      <c r="AC57" s="64">
        <f t="shared" si="14"/>
        <v>0</v>
      </c>
      <c r="AD57" s="64">
        <f t="shared" si="15"/>
        <v>0</v>
      </c>
      <c r="AE57" s="179">
        <f t="shared" si="16"/>
        <v>0</v>
      </c>
      <c r="AF57" s="64">
        <f t="shared" si="17"/>
        <v>0</v>
      </c>
      <c r="AG57" s="179">
        <f t="shared" si="18"/>
        <v>0</v>
      </c>
      <c r="AH57" s="179">
        <f t="shared" si="32"/>
        <v>0</v>
      </c>
      <c r="AI57" s="64">
        <f t="shared" si="19"/>
        <v>0</v>
      </c>
      <c r="AJ57" s="64">
        <f t="shared" si="20"/>
        <v>0</v>
      </c>
      <c r="AK57" s="64">
        <f t="shared" si="21"/>
        <v>0</v>
      </c>
      <c r="AL57" s="64">
        <f t="shared" si="22"/>
        <v>0</v>
      </c>
      <c r="AM57" s="180"/>
      <c r="AN57" s="181"/>
      <c r="AO57" s="182"/>
      <c r="AP57" s="64">
        <f t="shared" si="23"/>
        <v>0</v>
      </c>
      <c r="AQ57" s="64">
        <f>IF(AND(COUNTIF(L57:L57:$L$129,L57)=1,F57+G57&gt;0),L57&amp;"-","")</f>
      </c>
      <c r="AR57" s="64">
        <f t="shared" si="24"/>
      </c>
      <c r="AS57" s="202"/>
      <c r="AT57" s="202"/>
      <c r="AU57" s="203">
        <f t="shared" si="25"/>
      </c>
    </row>
    <row r="58" spans="3:47" ht="10.5">
      <c r="C58" s="70">
        <v>56</v>
      </c>
      <c r="D58" s="184" t="str">
        <f>IF(D17="Spieler 15","Sieger 15",IF(E17="Spieler 47","Sieger 15",IF(D17=E17,"Freilos",IF(E17="Freilos",D17,IF(D17="Freilos",E17,IF(F17&gt;G17,D17,IF(G17&gt;F17,E17,"Sieger 15")))))))</f>
        <v>Sieger 15</v>
      </c>
      <c r="E58" s="206" t="str">
        <f>IF(D18="Spieler 31","Sieger 16",IF(E18="Spieler 63","Sieger 16",IF(D18=E18,"Freilos",IF(E18="Freilos",D18,IF(D18="Freilos",E18,IF(F18&gt;G18,D18,IF(G18&gt;F18,E18,"Sieger 16")))))))</f>
        <v>Sieger 16</v>
      </c>
      <c r="F58" s="79"/>
      <c r="G58" s="80"/>
      <c r="H58" s="104"/>
      <c r="I58" s="104"/>
      <c r="J58" s="104"/>
      <c r="K58" s="105"/>
      <c r="L58" s="217"/>
      <c r="M58" s="86"/>
      <c r="N58" s="64">
        <f t="shared" si="0"/>
        <v>0</v>
      </c>
      <c r="O58" s="64">
        <f t="shared" si="1"/>
        <v>0</v>
      </c>
      <c r="P58" s="64">
        <f t="shared" si="8"/>
        <v>0</v>
      </c>
      <c r="Q58" s="64">
        <f t="shared" si="9"/>
        <v>0</v>
      </c>
      <c r="R58" s="64">
        <f t="shared" si="10"/>
        <v>0</v>
      </c>
      <c r="S58" s="64">
        <f t="shared" si="11"/>
        <v>0</v>
      </c>
      <c r="T58" s="178">
        <f t="shared" si="33"/>
        <v>0</v>
      </c>
      <c r="U58" s="178">
        <f t="shared" si="34"/>
        <v>0</v>
      </c>
      <c r="V58" s="64">
        <v>56</v>
      </c>
      <c r="W58" s="64" t="str">
        <f>IF(Auslosung_Turnierdaten!F64="","Spieler 56",Auslosung_Turnierdaten!F64)</f>
        <v>Spieler 56</v>
      </c>
      <c r="X58" s="64">
        <f t="shared" si="28"/>
        <v>0</v>
      </c>
      <c r="Y58" s="64">
        <f t="shared" si="29"/>
        <v>0</v>
      </c>
      <c r="Z58" s="64">
        <f t="shared" si="30"/>
        <v>0</v>
      </c>
      <c r="AA58" s="64">
        <f t="shared" si="13"/>
        <v>0</v>
      </c>
      <c r="AB58" s="64">
        <f t="shared" si="31"/>
        <v>0</v>
      </c>
      <c r="AC58" s="64">
        <f t="shared" si="14"/>
        <v>0</v>
      </c>
      <c r="AD58" s="64">
        <f t="shared" si="15"/>
        <v>0</v>
      </c>
      <c r="AE58" s="179">
        <f t="shared" si="16"/>
        <v>0</v>
      </c>
      <c r="AF58" s="64">
        <f t="shared" si="17"/>
        <v>0</v>
      </c>
      <c r="AG58" s="179">
        <f t="shared" si="18"/>
        <v>0</v>
      </c>
      <c r="AH58" s="179">
        <f t="shared" si="32"/>
        <v>0</v>
      </c>
      <c r="AI58" s="64">
        <f t="shared" si="19"/>
        <v>0</v>
      </c>
      <c r="AJ58" s="64">
        <f t="shared" si="20"/>
        <v>0</v>
      </c>
      <c r="AK58" s="64">
        <f t="shared" si="21"/>
        <v>0</v>
      </c>
      <c r="AL58" s="64">
        <f t="shared" si="22"/>
        <v>0</v>
      </c>
      <c r="AM58" s="180"/>
      <c r="AN58" s="181"/>
      <c r="AO58" s="182"/>
      <c r="AP58" s="64">
        <f t="shared" si="23"/>
        <v>0</v>
      </c>
      <c r="AQ58" s="64">
        <f>IF(AND(COUNTIF(L58:L58:$L$129,L58)=1,F58+G58&gt;0),L58&amp;"-","")</f>
      </c>
      <c r="AR58" s="64">
        <f t="shared" si="24"/>
      </c>
      <c r="AS58" s="202"/>
      <c r="AT58" s="202"/>
      <c r="AU58" s="203">
        <f t="shared" si="25"/>
      </c>
    </row>
    <row r="59" spans="3:47" ht="10.5">
      <c r="C59" s="70">
        <v>57</v>
      </c>
      <c r="D59" s="184" t="str">
        <f>IF(D19="Spieler 2","Sieger 17",IF(E19="Spieler 34","Sieger 17",IF(D19=E19,"Freilos",IF(E19="Freilos",D19,IF(D19="Freilos",E19,IF(F19&gt;G19,D19,IF(G19&gt;F19,E19,"Sieger 17")))))))</f>
        <v>Sieger 17</v>
      </c>
      <c r="E59" s="206" t="str">
        <f>IF(D20="Spieler 18","Sieger 18",IF(E20="Spieler 50","Sieger 18",IF(D20=E20,"Freilos",IF(E20="Freilos",D20,IF(D20="Freilos",E20,IF(F20&gt;G20,D20,IF(G20&gt;F20,E20,"Sieger 18")))))))</f>
        <v>Sieger 18</v>
      </c>
      <c r="F59" s="79"/>
      <c r="G59" s="80"/>
      <c r="H59" s="104"/>
      <c r="I59" s="104"/>
      <c r="J59" s="104"/>
      <c r="K59" s="105"/>
      <c r="L59" s="217"/>
      <c r="M59" s="86"/>
      <c r="N59" s="64">
        <f t="shared" si="0"/>
        <v>0</v>
      </c>
      <c r="O59" s="64">
        <f t="shared" si="1"/>
        <v>0</v>
      </c>
      <c r="P59" s="64">
        <f t="shared" si="8"/>
        <v>0</v>
      </c>
      <c r="Q59" s="64">
        <f t="shared" si="9"/>
        <v>0</v>
      </c>
      <c r="R59" s="64">
        <f t="shared" si="10"/>
        <v>0</v>
      </c>
      <c r="S59" s="64">
        <f t="shared" si="11"/>
        <v>0</v>
      </c>
      <c r="T59" s="178">
        <f t="shared" si="33"/>
        <v>0</v>
      </c>
      <c r="U59" s="178">
        <f t="shared" si="34"/>
        <v>0</v>
      </c>
      <c r="V59" s="64">
        <v>57</v>
      </c>
      <c r="W59" s="64" t="str">
        <f>IF(Auslosung_Turnierdaten!F65="","Spieler 57",Auslosung_Turnierdaten!F65)</f>
        <v>Spieler 57</v>
      </c>
      <c r="X59" s="64">
        <f t="shared" si="28"/>
        <v>0</v>
      </c>
      <c r="Y59" s="64">
        <f t="shared" si="29"/>
        <v>0</v>
      </c>
      <c r="Z59" s="64">
        <f t="shared" si="30"/>
        <v>0</v>
      </c>
      <c r="AA59" s="64">
        <f t="shared" si="13"/>
        <v>0</v>
      </c>
      <c r="AB59" s="64">
        <f t="shared" si="31"/>
        <v>0</v>
      </c>
      <c r="AC59" s="64">
        <f t="shared" si="14"/>
        <v>0</v>
      </c>
      <c r="AD59" s="64">
        <f t="shared" si="15"/>
        <v>0</v>
      </c>
      <c r="AE59" s="179">
        <f t="shared" si="16"/>
        <v>0</v>
      </c>
      <c r="AF59" s="64">
        <f t="shared" si="17"/>
        <v>0</v>
      </c>
      <c r="AG59" s="179">
        <f t="shared" si="18"/>
        <v>0</v>
      </c>
      <c r="AH59" s="179">
        <f t="shared" si="32"/>
        <v>0</v>
      </c>
      <c r="AI59" s="64">
        <f t="shared" si="19"/>
        <v>0</v>
      </c>
      <c r="AJ59" s="64">
        <f t="shared" si="20"/>
        <v>0</v>
      </c>
      <c r="AK59" s="64">
        <f t="shared" si="21"/>
        <v>0</v>
      </c>
      <c r="AL59" s="64">
        <f t="shared" si="22"/>
        <v>0</v>
      </c>
      <c r="AM59" s="180"/>
      <c r="AN59" s="181"/>
      <c r="AO59" s="182"/>
      <c r="AP59" s="64">
        <f t="shared" si="23"/>
        <v>0</v>
      </c>
      <c r="AQ59" s="64">
        <f>IF(AND(COUNTIF(L59:L59:$L$129,L59)=1,F59+G59&gt;0),L59&amp;"-","")</f>
      </c>
      <c r="AR59" s="64">
        <f t="shared" si="24"/>
      </c>
      <c r="AS59" s="202"/>
      <c r="AT59" s="202"/>
      <c r="AU59" s="203">
        <f t="shared" si="25"/>
      </c>
    </row>
    <row r="60" spans="3:47" ht="10.5">
      <c r="C60" s="70">
        <v>58</v>
      </c>
      <c r="D60" s="184" t="str">
        <f>IF(D21="Spieler 10","Sieger 19",IF(E21="Spieler 42","Sieger 19",IF(D21=E21,"Freilos",IF(E21="Freilos",D21,IF(D21="Freilos",E21,IF(F21&gt;G21,D21,IF(G21&gt;F21,E21,"Sieger 19")))))))</f>
        <v>Sieger 19</v>
      </c>
      <c r="E60" s="206" t="str">
        <f>IF(D22="Spieler 26","Sieger 20",IF(E22="Spieler 58","Sieger 20",IF(D22=E22,"Freilos",IF(E22="Freilos",D22,IF(D22="Freilos",E22,IF(F22&gt;G22,D22,IF(G22&gt;F22,E22,"Sieger 20")))))))</f>
        <v>Sieger 20</v>
      </c>
      <c r="F60" s="79"/>
      <c r="G60" s="80"/>
      <c r="H60" s="104"/>
      <c r="I60" s="104"/>
      <c r="J60" s="104"/>
      <c r="K60" s="105"/>
      <c r="L60" s="217"/>
      <c r="M60" s="86"/>
      <c r="N60" s="64">
        <f t="shared" si="0"/>
        <v>0</v>
      </c>
      <c r="O60" s="64">
        <f t="shared" si="1"/>
        <v>0</v>
      </c>
      <c r="P60" s="64">
        <f t="shared" si="8"/>
        <v>0</v>
      </c>
      <c r="Q60" s="64">
        <f t="shared" si="9"/>
        <v>0</v>
      </c>
      <c r="R60" s="64">
        <f t="shared" si="10"/>
        <v>0</v>
      </c>
      <c r="S60" s="64">
        <f t="shared" si="11"/>
        <v>0</v>
      </c>
      <c r="T60" s="178">
        <f t="shared" si="33"/>
        <v>0</v>
      </c>
      <c r="U60" s="178">
        <f t="shared" si="34"/>
        <v>0</v>
      </c>
      <c r="V60" s="64">
        <v>58</v>
      </c>
      <c r="W60" s="64" t="str">
        <f>IF(Auslosung_Turnierdaten!F66="","Spieler 58",Auslosung_Turnierdaten!F66)</f>
        <v>Spieler 58</v>
      </c>
      <c r="X60" s="64">
        <f t="shared" si="28"/>
        <v>0</v>
      </c>
      <c r="Y60" s="64">
        <f t="shared" si="29"/>
        <v>0</v>
      </c>
      <c r="Z60" s="64">
        <f t="shared" si="30"/>
        <v>0</v>
      </c>
      <c r="AA60" s="64">
        <f t="shared" si="13"/>
        <v>0</v>
      </c>
      <c r="AB60" s="64">
        <f t="shared" si="31"/>
        <v>0</v>
      </c>
      <c r="AC60" s="64">
        <f t="shared" si="14"/>
        <v>0</v>
      </c>
      <c r="AD60" s="64">
        <f t="shared" si="15"/>
        <v>0</v>
      </c>
      <c r="AE60" s="179">
        <f t="shared" si="16"/>
        <v>0</v>
      </c>
      <c r="AF60" s="64">
        <f t="shared" si="17"/>
        <v>0</v>
      </c>
      <c r="AG60" s="179">
        <f t="shared" si="18"/>
        <v>0</v>
      </c>
      <c r="AH60" s="179">
        <f t="shared" si="32"/>
        <v>0</v>
      </c>
      <c r="AI60" s="64">
        <f t="shared" si="19"/>
        <v>0</v>
      </c>
      <c r="AJ60" s="64">
        <f t="shared" si="20"/>
        <v>0</v>
      </c>
      <c r="AK60" s="64">
        <f t="shared" si="21"/>
        <v>0</v>
      </c>
      <c r="AL60" s="64">
        <f t="shared" si="22"/>
        <v>0</v>
      </c>
      <c r="AM60" s="180"/>
      <c r="AN60" s="181"/>
      <c r="AO60" s="182"/>
      <c r="AP60" s="64">
        <f t="shared" si="23"/>
        <v>0</v>
      </c>
      <c r="AQ60" s="64">
        <f>IF(AND(COUNTIF(L60:L60:$L$129,L60)=1,F60+G60&gt;0),L60&amp;"-","")</f>
      </c>
      <c r="AR60" s="64">
        <f t="shared" si="24"/>
      </c>
      <c r="AS60" s="202"/>
      <c r="AT60" s="202"/>
      <c r="AU60" s="203">
        <f t="shared" si="25"/>
      </c>
    </row>
    <row r="61" spans="3:47" ht="10.5">
      <c r="C61" s="70">
        <v>59</v>
      </c>
      <c r="D61" s="184" t="str">
        <f>IF(D23="Spieler 6","Sieger 21",IF(E23="Spieler 38","Sieger 21",IF(D23=E23,"Freilos",IF(E23="Freilos",D23,IF(D23="Freilos",E23,IF(F23&gt;G23,D23,IF(G23&gt;F23,E23,"Sieger 21")))))))</f>
        <v>Sieger 21</v>
      </c>
      <c r="E61" s="206" t="str">
        <f>IF(D24="Spieler 22","Sieger 22",IF(E24="Spieler 54","Sieger 22",IF(D24=E24,"Freilos",IF(E24="Freilos",D24,IF(D24="Freilos",E24,IF(F24&gt;G24,D24,IF(G24&gt;F24,E24,"Sieger 22")))))))</f>
        <v>Sieger 22</v>
      </c>
      <c r="F61" s="79"/>
      <c r="G61" s="80"/>
      <c r="H61" s="104"/>
      <c r="I61" s="104"/>
      <c r="J61" s="104"/>
      <c r="K61" s="105"/>
      <c r="L61" s="217"/>
      <c r="M61" s="86"/>
      <c r="N61" s="64">
        <f t="shared" si="0"/>
        <v>0</v>
      </c>
      <c r="O61" s="64">
        <f t="shared" si="1"/>
        <v>0</v>
      </c>
      <c r="P61" s="64">
        <f t="shared" si="8"/>
        <v>0</v>
      </c>
      <c r="Q61" s="64">
        <f t="shared" si="9"/>
        <v>0</v>
      </c>
      <c r="R61" s="64">
        <f t="shared" si="10"/>
        <v>0</v>
      </c>
      <c r="S61" s="64">
        <f t="shared" si="11"/>
        <v>0</v>
      </c>
      <c r="T61" s="178">
        <f t="shared" si="33"/>
        <v>0</v>
      </c>
      <c r="U61" s="178">
        <f t="shared" si="34"/>
        <v>0</v>
      </c>
      <c r="V61" s="64">
        <v>59</v>
      </c>
      <c r="W61" s="64" t="str">
        <f>IF(Auslosung_Turnierdaten!F67="","Spieler 59",Auslosung_Turnierdaten!F67)</f>
        <v>Spieler 59</v>
      </c>
      <c r="X61" s="64">
        <f t="shared" si="28"/>
        <v>0</v>
      </c>
      <c r="Y61" s="64">
        <f t="shared" si="29"/>
        <v>0</v>
      </c>
      <c r="Z61" s="64">
        <f t="shared" si="30"/>
        <v>0</v>
      </c>
      <c r="AA61" s="64">
        <f t="shared" si="13"/>
        <v>0</v>
      </c>
      <c r="AB61" s="64">
        <f t="shared" si="31"/>
        <v>0</v>
      </c>
      <c r="AC61" s="64">
        <f t="shared" si="14"/>
        <v>0</v>
      </c>
      <c r="AD61" s="64">
        <f t="shared" si="15"/>
        <v>0</v>
      </c>
      <c r="AE61" s="179">
        <f t="shared" si="16"/>
        <v>0</v>
      </c>
      <c r="AF61" s="64">
        <f t="shared" si="17"/>
        <v>0</v>
      </c>
      <c r="AG61" s="179">
        <f t="shared" si="18"/>
        <v>0</v>
      </c>
      <c r="AH61" s="179">
        <f t="shared" si="32"/>
        <v>0</v>
      </c>
      <c r="AI61" s="64">
        <f t="shared" si="19"/>
        <v>0</v>
      </c>
      <c r="AJ61" s="64">
        <f t="shared" si="20"/>
        <v>0</v>
      </c>
      <c r="AK61" s="64">
        <f t="shared" si="21"/>
        <v>0</v>
      </c>
      <c r="AL61" s="64">
        <f t="shared" si="22"/>
        <v>0</v>
      </c>
      <c r="AM61" s="180"/>
      <c r="AN61" s="181"/>
      <c r="AO61" s="182"/>
      <c r="AP61" s="64">
        <f t="shared" si="23"/>
        <v>0</v>
      </c>
      <c r="AQ61" s="64">
        <f>IF(AND(COUNTIF(L61:L61:$L$129,L61)=1,F61+G61&gt;0),L61&amp;"-","")</f>
      </c>
      <c r="AR61" s="64">
        <f t="shared" si="24"/>
      </c>
      <c r="AS61" s="202"/>
      <c r="AT61" s="202"/>
      <c r="AU61" s="203">
        <f t="shared" si="25"/>
      </c>
    </row>
    <row r="62" spans="3:47" ht="10.5">
      <c r="C62" s="70">
        <v>60</v>
      </c>
      <c r="D62" s="184" t="str">
        <f>IF(D25="Spieler 14","Sieger 23",IF(E25="Spieler 46","Sieger 23",IF(D25=E25,"Freilos",IF(E25="Freilos",D25,IF(D25="Freilos",E25,IF(F25&gt;G25,D25,IF(G25&gt;F25,E25,"Sieger 23")))))))</f>
        <v>Sieger 23</v>
      </c>
      <c r="E62" s="206" t="str">
        <f>IF(D26="Spieler 30","Sieger 24",IF(E26="Spieler 62","Sieger 24",IF(D26=E26,"Freilos",IF(E26="Freilos",D26,IF(D26="Freilos",E26,IF(F26&gt;G26,D26,IF(G26&gt;F26,E26,"Sieger 24")))))))</f>
        <v>Sieger 24</v>
      </c>
      <c r="F62" s="79"/>
      <c r="G62" s="80"/>
      <c r="H62" s="104"/>
      <c r="I62" s="104"/>
      <c r="J62" s="104"/>
      <c r="K62" s="105"/>
      <c r="L62" s="217"/>
      <c r="M62" s="86"/>
      <c r="N62" s="64">
        <f t="shared" si="0"/>
        <v>0</v>
      </c>
      <c r="O62" s="64">
        <f t="shared" si="1"/>
        <v>0</v>
      </c>
      <c r="P62" s="64">
        <f t="shared" si="8"/>
        <v>0</v>
      </c>
      <c r="Q62" s="64">
        <f t="shared" si="9"/>
        <v>0</v>
      </c>
      <c r="R62" s="64">
        <f t="shared" si="10"/>
        <v>0</v>
      </c>
      <c r="S62" s="64">
        <f t="shared" si="11"/>
        <v>0</v>
      </c>
      <c r="T62" s="178">
        <f t="shared" si="33"/>
        <v>0</v>
      </c>
      <c r="U62" s="178">
        <f t="shared" si="34"/>
        <v>0</v>
      </c>
      <c r="V62" s="64">
        <v>60</v>
      </c>
      <c r="W62" s="64" t="str">
        <f>IF(Auslosung_Turnierdaten!F68="","Spieler 60",Auslosung_Turnierdaten!F68)</f>
        <v>Spieler 60</v>
      </c>
      <c r="X62" s="64">
        <f t="shared" si="28"/>
        <v>0</v>
      </c>
      <c r="Y62" s="64">
        <f t="shared" si="29"/>
        <v>0</v>
      </c>
      <c r="Z62" s="64">
        <f t="shared" si="30"/>
        <v>0</v>
      </c>
      <c r="AA62" s="64">
        <f t="shared" si="13"/>
        <v>0</v>
      </c>
      <c r="AB62" s="64">
        <f t="shared" si="31"/>
        <v>0</v>
      </c>
      <c r="AC62" s="64">
        <f t="shared" si="14"/>
        <v>0</v>
      </c>
      <c r="AD62" s="64">
        <f t="shared" si="15"/>
        <v>0</v>
      </c>
      <c r="AE62" s="179">
        <f t="shared" si="16"/>
        <v>0</v>
      </c>
      <c r="AF62" s="64">
        <f t="shared" si="17"/>
        <v>0</v>
      </c>
      <c r="AG62" s="179">
        <f t="shared" si="18"/>
        <v>0</v>
      </c>
      <c r="AH62" s="179">
        <f t="shared" si="32"/>
        <v>0</v>
      </c>
      <c r="AI62" s="64">
        <f t="shared" si="19"/>
        <v>0</v>
      </c>
      <c r="AJ62" s="64">
        <f t="shared" si="20"/>
        <v>0</v>
      </c>
      <c r="AK62" s="64">
        <f t="shared" si="21"/>
        <v>0</v>
      </c>
      <c r="AL62" s="64">
        <f t="shared" si="22"/>
        <v>0</v>
      </c>
      <c r="AM62" s="180"/>
      <c r="AN62" s="181"/>
      <c r="AO62" s="182"/>
      <c r="AP62" s="64">
        <f t="shared" si="23"/>
        <v>0</v>
      </c>
      <c r="AQ62" s="64">
        <f>IF(AND(COUNTIF(L62:L62:$L$129,L62)=1,F62+G62&gt;0),L62&amp;"-","")</f>
      </c>
      <c r="AR62" s="64">
        <f t="shared" si="24"/>
      </c>
      <c r="AS62" s="202"/>
      <c r="AT62" s="202"/>
      <c r="AU62" s="203">
        <f t="shared" si="25"/>
      </c>
    </row>
    <row r="63" spans="3:47" ht="10.5">
      <c r="C63" s="70">
        <v>61</v>
      </c>
      <c r="D63" s="184" t="str">
        <f>IF(D27="Spieler 4","Sieger 25",IF(E27="Spieler 36","Sieger 25",IF(D27=E27,"Freilos",IF(E27="Freilos",D27,IF(D27="Freilos",E27,IF(F27&gt;G27,D27,IF(G27&gt;F27,E27,"Sieger 25")))))))</f>
        <v>Sieger 25</v>
      </c>
      <c r="E63" s="206" t="str">
        <f>IF(D28="Spieler 20","Sieger 26",IF(E28="Spieler 52","Sieger 26",IF(D28=E28,"Freilos",IF(E28="Freilos",D28,IF(D28="Freilos",E28,IF(F28&gt;G28,D28,IF(G28&gt;F28,E28,"Sieger 26")))))))</f>
        <v>Sieger 26</v>
      </c>
      <c r="F63" s="79"/>
      <c r="G63" s="80"/>
      <c r="H63" s="104"/>
      <c r="I63" s="104"/>
      <c r="J63" s="104"/>
      <c r="K63" s="105"/>
      <c r="L63" s="217"/>
      <c r="M63" s="86"/>
      <c r="N63" s="64">
        <f t="shared" si="0"/>
        <v>0</v>
      </c>
      <c r="O63" s="64">
        <f t="shared" si="1"/>
        <v>0</v>
      </c>
      <c r="P63" s="64">
        <f t="shared" si="8"/>
        <v>0</v>
      </c>
      <c r="Q63" s="64">
        <f t="shared" si="9"/>
        <v>0</v>
      </c>
      <c r="R63" s="64">
        <f t="shared" si="10"/>
        <v>0</v>
      </c>
      <c r="S63" s="64">
        <f t="shared" si="11"/>
        <v>0</v>
      </c>
      <c r="T63" s="178">
        <f t="shared" si="33"/>
        <v>0</v>
      </c>
      <c r="U63" s="178">
        <f t="shared" si="34"/>
        <v>0</v>
      </c>
      <c r="V63" s="64">
        <v>61</v>
      </c>
      <c r="W63" s="64" t="str">
        <f>IF(Auslosung_Turnierdaten!F69="","Spieler 61",Auslosung_Turnierdaten!F69)</f>
        <v>Spieler 61</v>
      </c>
      <c r="X63" s="64">
        <f t="shared" si="28"/>
        <v>0</v>
      </c>
      <c r="Y63" s="64">
        <f t="shared" si="29"/>
        <v>0</v>
      </c>
      <c r="Z63" s="64">
        <f t="shared" si="30"/>
        <v>0</v>
      </c>
      <c r="AA63" s="64">
        <f t="shared" si="13"/>
        <v>0</v>
      </c>
      <c r="AB63" s="64">
        <f t="shared" si="31"/>
        <v>0</v>
      </c>
      <c r="AC63" s="64">
        <f t="shared" si="14"/>
        <v>0</v>
      </c>
      <c r="AD63" s="64">
        <f t="shared" si="15"/>
        <v>0</v>
      </c>
      <c r="AE63" s="179">
        <f t="shared" si="16"/>
        <v>0</v>
      </c>
      <c r="AF63" s="64">
        <f t="shared" si="17"/>
        <v>0</v>
      </c>
      <c r="AG63" s="179">
        <f t="shared" si="18"/>
        <v>0</v>
      </c>
      <c r="AH63" s="179">
        <f t="shared" si="32"/>
        <v>0</v>
      </c>
      <c r="AI63" s="64">
        <f t="shared" si="19"/>
        <v>0</v>
      </c>
      <c r="AJ63" s="64">
        <f t="shared" si="20"/>
        <v>0</v>
      </c>
      <c r="AK63" s="64">
        <f t="shared" si="21"/>
        <v>0</v>
      </c>
      <c r="AL63" s="64">
        <f t="shared" si="22"/>
        <v>0</v>
      </c>
      <c r="AM63" s="180"/>
      <c r="AN63" s="181"/>
      <c r="AO63" s="182"/>
      <c r="AP63" s="64">
        <f t="shared" si="23"/>
        <v>0</v>
      </c>
      <c r="AQ63" s="64">
        <f>IF(AND(COUNTIF(L63:L63:$L$129,L63)=1,F63+G63&gt;0),L63&amp;"-","")</f>
      </c>
      <c r="AR63" s="64">
        <f t="shared" si="24"/>
      </c>
      <c r="AS63" s="202"/>
      <c r="AT63" s="202"/>
      <c r="AU63" s="203">
        <f t="shared" si="25"/>
      </c>
    </row>
    <row r="64" spans="3:47" ht="10.5">
      <c r="C64" s="70">
        <v>62</v>
      </c>
      <c r="D64" s="184" t="str">
        <f>IF(D29="Spieler 12","Sieger 27",IF(E29="Spieler 44","Sieger 27",IF(D29=E29,"Freilos",IF(E29="Freilos",D29,IF(D29="Freilos",E29,IF(F29&gt;G29,D29,IF(G29&gt;F29,E29,"Sieger 27")))))))</f>
        <v>Sieger 27</v>
      </c>
      <c r="E64" s="206" t="str">
        <f>IF(D30="Spieler 28","Sieger 28",IF(E30="Spieler 60","Sieger 28",IF(D30=E30,"Freilos",IF(E30="Freilos",D30,IF(D30="Freilos",E36,IF(F30&gt;G30,D30,IF(G30&gt;F30,E30,"Sieger 28")))))))</f>
        <v>Sieger 28</v>
      </c>
      <c r="F64" s="79"/>
      <c r="G64" s="80"/>
      <c r="H64" s="104"/>
      <c r="I64" s="104"/>
      <c r="J64" s="104"/>
      <c r="K64" s="105"/>
      <c r="L64" s="217"/>
      <c r="M64" s="86"/>
      <c r="N64" s="64">
        <f t="shared" si="0"/>
        <v>0</v>
      </c>
      <c r="O64" s="64">
        <f t="shared" si="1"/>
        <v>0</v>
      </c>
      <c r="P64" s="64">
        <f t="shared" si="8"/>
        <v>0</v>
      </c>
      <c r="Q64" s="64">
        <f t="shared" si="9"/>
        <v>0</v>
      </c>
      <c r="R64" s="64">
        <f t="shared" si="10"/>
        <v>0</v>
      </c>
      <c r="S64" s="64">
        <f t="shared" si="11"/>
        <v>0</v>
      </c>
      <c r="T64" s="178">
        <f t="shared" si="33"/>
        <v>0</v>
      </c>
      <c r="U64" s="178">
        <f t="shared" si="34"/>
        <v>0</v>
      </c>
      <c r="V64" s="64">
        <v>62</v>
      </c>
      <c r="W64" s="64" t="str">
        <f>IF(Auslosung_Turnierdaten!F70="","Spieler 62",Auslosung_Turnierdaten!F70)</f>
        <v>Spieler 62</v>
      </c>
      <c r="X64" s="64">
        <f t="shared" si="28"/>
        <v>0</v>
      </c>
      <c r="Y64" s="64">
        <f t="shared" si="29"/>
        <v>0</v>
      </c>
      <c r="Z64" s="64">
        <f t="shared" si="30"/>
        <v>0</v>
      </c>
      <c r="AA64" s="64">
        <f t="shared" si="13"/>
        <v>0</v>
      </c>
      <c r="AB64" s="64">
        <f t="shared" si="31"/>
        <v>0</v>
      </c>
      <c r="AC64" s="64">
        <f t="shared" si="14"/>
        <v>0</v>
      </c>
      <c r="AD64" s="64">
        <f t="shared" si="15"/>
        <v>0</v>
      </c>
      <c r="AE64" s="179">
        <f t="shared" si="16"/>
        <v>0</v>
      </c>
      <c r="AF64" s="64">
        <f t="shared" si="17"/>
        <v>0</v>
      </c>
      <c r="AG64" s="179">
        <f t="shared" si="18"/>
        <v>0</v>
      </c>
      <c r="AH64" s="179">
        <f t="shared" si="32"/>
        <v>0</v>
      </c>
      <c r="AI64" s="64">
        <f t="shared" si="19"/>
        <v>0</v>
      </c>
      <c r="AJ64" s="64">
        <f t="shared" si="20"/>
        <v>0</v>
      </c>
      <c r="AK64" s="64">
        <f t="shared" si="21"/>
        <v>0</v>
      </c>
      <c r="AL64" s="64">
        <f t="shared" si="22"/>
        <v>0</v>
      </c>
      <c r="AM64" s="180"/>
      <c r="AN64" s="181"/>
      <c r="AO64" s="182"/>
      <c r="AP64" s="64">
        <f t="shared" si="23"/>
        <v>0</v>
      </c>
      <c r="AQ64" s="64">
        <f>IF(AND(COUNTIF(L64:L64:$L$129,L64)=1,F64+G64&gt;0),L64&amp;"-","")</f>
      </c>
      <c r="AR64" s="64">
        <f t="shared" si="24"/>
      </c>
      <c r="AS64" s="202"/>
      <c r="AT64" s="202"/>
      <c r="AU64" s="203">
        <f t="shared" si="25"/>
      </c>
    </row>
    <row r="65" spans="3:47" ht="10.5">
      <c r="C65" s="70">
        <v>63</v>
      </c>
      <c r="D65" s="184" t="str">
        <f>IF(D31="Spieler 8","Sieger 29",IF(E31="Spieler 40","Sieger 29",IF(D31=E31,"Freilos",IF(E31="Freilos",D31,IF(D31="Freilos",E31,IF(F31&gt;G31,D31,IF(G31&gt;F31,E31,"Sieger 29")))))))</f>
        <v>Sieger 29</v>
      </c>
      <c r="E65" s="206" t="str">
        <f>IF(D32="Spieler 24","Sieger 30",IF(E32="Spieler 56","Sieger 30",IF(D32=E32,"Freilos",IF(E32="Freilos",D32,IF(D32="Freilos",E32,IF(F32&gt;G32,D32,IF(G32&gt;F32,E32,"Sieger 30")))))))</f>
        <v>Sieger 30</v>
      </c>
      <c r="F65" s="79"/>
      <c r="G65" s="80"/>
      <c r="H65" s="104"/>
      <c r="I65" s="104"/>
      <c r="J65" s="104"/>
      <c r="K65" s="105"/>
      <c r="L65" s="217"/>
      <c r="N65" s="64">
        <f t="shared" si="0"/>
        <v>0</v>
      </c>
      <c r="O65" s="64">
        <f t="shared" si="1"/>
        <v>0</v>
      </c>
      <c r="P65" s="64">
        <f t="shared" si="8"/>
        <v>0</v>
      </c>
      <c r="Q65" s="64">
        <f t="shared" si="9"/>
        <v>0</v>
      </c>
      <c r="R65" s="64">
        <f t="shared" si="10"/>
        <v>0</v>
      </c>
      <c r="S65" s="64">
        <f t="shared" si="11"/>
        <v>0</v>
      </c>
      <c r="T65" s="178">
        <f t="shared" si="33"/>
        <v>0</v>
      </c>
      <c r="U65" s="178">
        <f t="shared" si="34"/>
        <v>0</v>
      </c>
      <c r="V65" s="64">
        <v>63</v>
      </c>
      <c r="W65" s="64" t="str">
        <f>IF(Auslosung_Turnierdaten!F71="","Spieler 63",Auslosung_Turnierdaten!F71)</f>
        <v>Spieler 63</v>
      </c>
      <c r="X65" s="64">
        <f t="shared" si="28"/>
        <v>0</v>
      </c>
      <c r="Y65" s="64">
        <f t="shared" si="29"/>
        <v>0</v>
      </c>
      <c r="Z65" s="64">
        <f t="shared" si="30"/>
        <v>0</v>
      </c>
      <c r="AA65" s="64">
        <f t="shared" si="13"/>
        <v>0</v>
      </c>
      <c r="AB65" s="64">
        <f t="shared" si="31"/>
        <v>0</v>
      </c>
      <c r="AC65" s="64">
        <f t="shared" si="14"/>
        <v>0</v>
      </c>
      <c r="AD65" s="64">
        <f t="shared" si="15"/>
        <v>0</v>
      </c>
      <c r="AE65" s="179">
        <f t="shared" si="16"/>
        <v>0</v>
      </c>
      <c r="AF65" s="64">
        <f t="shared" si="17"/>
        <v>0</v>
      </c>
      <c r="AG65" s="179">
        <f t="shared" si="18"/>
        <v>0</v>
      </c>
      <c r="AH65" s="179">
        <f t="shared" si="32"/>
        <v>0</v>
      </c>
      <c r="AI65" s="64">
        <f t="shared" si="19"/>
        <v>0</v>
      </c>
      <c r="AJ65" s="64">
        <f t="shared" si="20"/>
        <v>0</v>
      </c>
      <c r="AK65" s="64">
        <f t="shared" si="21"/>
        <v>0</v>
      </c>
      <c r="AL65" s="64">
        <f t="shared" si="22"/>
        <v>0</v>
      </c>
      <c r="AM65" s="180"/>
      <c r="AN65" s="181"/>
      <c r="AO65" s="182"/>
      <c r="AP65" s="64">
        <f t="shared" si="23"/>
        <v>0</v>
      </c>
      <c r="AQ65" s="64">
        <f>IF(AND(COUNTIF(L65:L65:$L$129,L65)=1,F65+G65&gt;0),L65&amp;"-","")</f>
      </c>
      <c r="AR65" s="64">
        <f t="shared" si="24"/>
      </c>
      <c r="AS65" s="202"/>
      <c r="AT65" s="202"/>
      <c r="AU65" s="203">
        <f t="shared" si="25"/>
      </c>
    </row>
    <row r="66" spans="3:47" ht="11.25" thickBot="1">
      <c r="C66" s="70">
        <v>64</v>
      </c>
      <c r="D66" s="185" t="str">
        <f>IF(D33="Spieler 16","Sieger 31",IF(E33="Spieler 48","Sieger 31",IF(D33=E33,"Freilos",IF(E33="Freilos",D33,IF(D33="Freilos",E33,IF(F33&gt;G33,D33,IF(G33&gt;F33,E33,"Sieger 31")))))))</f>
        <v>Sieger 31</v>
      </c>
      <c r="E66" s="209" t="str">
        <f>IF(D34="Spieler 32","Sieger 32",IF(E34="Spieler 64","Sieger 32",IF(D34=E34,"Freilos",IF(E34="Freilos",D34,IF(D34="Freilos",E34,IF(F34&gt;G34,D34,IF(G34&gt;F34,E34,"Sieger 32")))))))</f>
        <v>Sieger 32</v>
      </c>
      <c r="F66" s="79"/>
      <c r="G66" s="80"/>
      <c r="H66" s="106"/>
      <c r="I66" s="106"/>
      <c r="J66" s="106"/>
      <c r="K66" s="107"/>
      <c r="L66" s="217"/>
      <c r="N66" s="64">
        <f t="shared" si="0"/>
        <v>0</v>
      </c>
      <c r="O66" s="64">
        <f t="shared" si="1"/>
        <v>0</v>
      </c>
      <c r="P66" s="64">
        <f t="shared" si="8"/>
        <v>0</v>
      </c>
      <c r="Q66" s="64">
        <f t="shared" si="9"/>
        <v>0</v>
      </c>
      <c r="R66" s="64">
        <f t="shared" si="10"/>
        <v>0</v>
      </c>
      <c r="S66" s="64">
        <f t="shared" si="11"/>
        <v>0</v>
      </c>
      <c r="T66" s="178">
        <f t="shared" si="33"/>
        <v>0</v>
      </c>
      <c r="U66" s="178">
        <f t="shared" si="34"/>
        <v>0</v>
      </c>
      <c r="V66" s="64">
        <v>64</v>
      </c>
      <c r="W66" s="64" t="str">
        <f>IF(Auslosung_Turnierdaten!F72="","Spieler 64",Auslosung_Turnierdaten!F72)</f>
        <v>Spieler 64</v>
      </c>
      <c r="X66" s="64">
        <f t="shared" si="28"/>
        <v>0</v>
      </c>
      <c r="Y66" s="64">
        <f t="shared" si="29"/>
        <v>0</v>
      </c>
      <c r="Z66" s="64">
        <f t="shared" si="30"/>
        <v>0</v>
      </c>
      <c r="AA66" s="64">
        <f t="shared" si="13"/>
        <v>0</v>
      </c>
      <c r="AB66" s="64">
        <f t="shared" si="31"/>
        <v>0</v>
      </c>
      <c r="AC66" s="64">
        <f t="shared" si="14"/>
        <v>0</v>
      </c>
      <c r="AD66" s="64">
        <f t="shared" si="15"/>
        <v>0</v>
      </c>
      <c r="AE66" s="179">
        <f t="shared" si="16"/>
        <v>0</v>
      </c>
      <c r="AF66" s="64">
        <f t="shared" si="17"/>
        <v>0</v>
      </c>
      <c r="AG66" s="179">
        <f t="shared" si="18"/>
        <v>0</v>
      </c>
      <c r="AH66" s="179">
        <f t="shared" si="32"/>
        <v>0</v>
      </c>
      <c r="AI66" s="64">
        <f t="shared" si="19"/>
        <v>0</v>
      </c>
      <c r="AJ66" s="64">
        <f t="shared" si="20"/>
        <v>0</v>
      </c>
      <c r="AK66" s="64">
        <f t="shared" si="21"/>
        <v>0</v>
      </c>
      <c r="AL66" s="64">
        <f t="shared" si="22"/>
        <v>0</v>
      </c>
      <c r="AM66" s="180"/>
      <c r="AN66" s="181"/>
      <c r="AO66" s="182"/>
      <c r="AP66" s="64">
        <f t="shared" si="23"/>
        <v>0</v>
      </c>
      <c r="AQ66" s="64">
        <f>IF(AND(COUNTIF(L66:L66:$L$129,L66)=1,F66+G66&gt;0),L66&amp;"-","")</f>
      </c>
      <c r="AR66" s="64">
        <f t="shared" si="24"/>
      </c>
      <c r="AS66" s="202"/>
      <c r="AT66" s="202"/>
      <c r="AU66" s="203">
        <f t="shared" si="25"/>
      </c>
    </row>
    <row r="67" spans="2:47" ht="11.25" thickBot="1">
      <c r="B67" s="87" t="s">
        <v>1064</v>
      </c>
      <c r="C67" s="108">
        <v>65</v>
      </c>
      <c r="D67" s="109" t="str">
        <f>IF(D35="Verlierer 1","Sieger 33",IF(E35="Verlierer 2","Sieger 33",IF(D35=E35,"Freilos",IF(E35="Freilos",D35,IF(D35="Freilos",E35,IF(F35&gt;G35,D35,IF(G35&gt;F35,E35,"Sieger 33")))))))</f>
        <v>Sieger 33</v>
      </c>
      <c r="E67" s="89" t="str">
        <f>IF(D66="Sieger 31","Verlierer 64",IF(E66="Sieger 32","Verlierer 64",IF(D66=E66,"Freilos",IF(E66="Freilos",E66,IF(D66="Freilos",D66,IF(F66&gt;G66,E66,IF(G66&gt;F66,D66,"Verlierer 64")))))))</f>
        <v>Verlierer 64</v>
      </c>
      <c r="F67" s="79"/>
      <c r="G67" s="80"/>
      <c r="H67" s="110"/>
      <c r="I67" s="110"/>
      <c r="J67" s="110"/>
      <c r="K67" s="111"/>
      <c r="L67" s="217"/>
      <c r="M67" s="92">
        <f aca="true" t="shared" si="35" ref="M67:M82">IF(F67&gt;G67,E67,IF(G67&gt;F67,D67,""))</f>
      </c>
      <c r="N67" s="64">
        <f>F67+G67</f>
        <v>0</v>
      </c>
      <c r="O67" s="64">
        <f>N67</f>
        <v>0</v>
      </c>
      <c r="P67" s="64">
        <f>IF(D67="Freilos",0,IF(F67&lt;G67,1,IF(F67&gt;G67,1,0)))</f>
        <v>0</v>
      </c>
      <c r="Q67" s="64">
        <f>IF(D67="Freilos",0,IF(F67&lt;G67,1,IF(F67&gt;G67,1,0)))</f>
        <v>0</v>
      </c>
      <c r="R67" s="64">
        <f>IF(D67="Freilos",0,IF(F67&gt;G67,1,0))</f>
        <v>0</v>
      </c>
      <c r="S67" s="64">
        <f>IF(D67="Freilos",0,IF(G67&gt;F67,1,0))</f>
        <v>0</v>
      </c>
      <c r="T67" s="178">
        <f>IF(E67="Freilos",3,IF(F67&gt;G67,3,0))</f>
        <v>0</v>
      </c>
      <c r="U67" s="178">
        <f>IF(D67="Freilos",3,IF(G67&gt;F67,3,0))</f>
        <v>0</v>
      </c>
      <c r="V67" s="112" t="s">
        <v>1060</v>
      </c>
      <c r="W67" s="113" t="s">
        <v>1024</v>
      </c>
      <c r="X67" s="113" t="s">
        <v>1025</v>
      </c>
      <c r="Y67" s="113" t="s">
        <v>1028</v>
      </c>
      <c r="Z67" s="113" t="s">
        <v>1029</v>
      </c>
      <c r="AA67" s="114" t="s">
        <v>1030</v>
      </c>
      <c r="AB67" s="114" t="s">
        <v>1031</v>
      </c>
      <c r="AC67" s="114" t="s">
        <v>1032</v>
      </c>
      <c r="AD67" s="114" t="str">
        <f>IF(SUM(SP64!AF3:SP64!AI66)&gt;0,"Points","GSp")</f>
        <v>GSp</v>
      </c>
      <c r="AE67" s="114" t="str">
        <f>IF(SUM(SP64!AF3:SP64!AI66)&gt;0,"Aufn","VSp")</f>
        <v>VSp</v>
      </c>
      <c r="AF67" s="114" t="str">
        <f>IF(SUM(SP64!AF3:SP64!AI66)&gt;0,"GD","Quot")</f>
        <v>Quot</v>
      </c>
      <c r="AG67" s="113">
        <f>IF(SUM(SP64!AF3:SP64!AI66)&gt;0,"BED","")</f>
      </c>
      <c r="AH67" s="115">
        <f>IF(SUM(SP64!AF3:SP64!AI66)&gt;0,"HS","")</f>
      </c>
      <c r="AM67" s="180"/>
      <c r="AN67" s="181"/>
      <c r="AO67" s="182"/>
      <c r="AP67" s="64">
        <f t="shared" si="23"/>
        <v>0</v>
      </c>
      <c r="AQ67" s="64">
        <f>IF(AND(COUNTIF(L67:L67:$L$129,L67)=1,F67+G67&gt;0),L67&amp;"-","")</f>
      </c>
      <c r="AR67" s="64">
        <f t="shared" si="24"/>
      </c>
      <c r="AS67" s="202"/>
      <c r="AT67" s="202"/>
      <c r="AU67" s="203">
        <f t="shared" si="25"/>
      </c>
    </row>
    <row r="68" spans="3:47" ht="10.5">
      <c r="C68" s="108">
        <v>66</v>
      </c>
      <c r="D68" s="116" t="str">
        <f>IF(D36="Verlierer 3","Sieger 34",IF(E36="Verlierer 4","Sieger 34",IF(D36=E36,"Freilos",IF(E36="Freilos",D36,IF(D36="Freilos",E36,IF(F36&gt;G36,D36,IF(G36&gt;F36,E36,"Sieger 34")))))))</f>
        <v>Sieger 34</v>
      </c>
      <c r="E68" s="94" t="str">
        <f>IF(D65="Sieger 29","Verlierer 63",IF(E65="Sieger 30","Verlierer 63",IF(D65=E65,"Freilos",IF(E65="Freilos",E65,IF(D65="Freilos",D65,IF(F65&gt;G65,E65,IF(G65&gt;F65,D65,"Verlierer 63")))))))</f>
        <v>Verlierer 63</v>
      </c>
      <c r="F68" s="79"/>
      <c r="G68" s="80"/>
      <c r="H68" s="95"/>
      <c r="I68" s="95"/>
      <c r="J68" s="95"/>
      <c r="K68" s="96"/>
      <c r="L68" s="217"/>
      <c r="M68" s="92">
        <f t="shared" si="35"/>
      </c>
      <c r="N68" s="64">
        <f aca="true" t="shared" si="36" ref="N68:N129">F68+G68</f>
        <v>0</v>
      </c>
      <c r="O68" s="64">
        <f aca="true" t="shared" si="37" ref="O68:O129">N68</f>
        <v>0</v>
      </c>
      <c r="P68" s="64">
        <f aca="true" t="shared" si="38" ref="P68:P129">IF(D68="Freilos",0,IF(F68&lt;G68,1,IF(F68&gt;G68,1,0)))</f>
        <v>0</v>
      </c>
      <c r="Q68" s="64">
        <f>IF(D68="Freilos",0,IF(F68&lt;G68,1,IF(F68&gt;G68,1,0)))</f>
        <v>0</v>
      </c>
      <c r="R68" s="64">
        <f aca="true" t="shared" si="39" ref="R68:R129">IF(D68="Freilos",0,IF(F68&gt;G68,1,0))</f>
        <v>0</v>
      </c>
      <c r="S68" s="64">
        <f aca="true" t="shared" si="40" ref="S68:S129">IF(D68="Freilos",0,IF(G68&gt;F68,1,0))</f>
        <v>0</v>
      </c>
      <c r="T68" s="178">
        <f aca="true" t="shared" si="41" ref="T68:T129">IF(E68="Freilos",3,IF(F68&gt;G68,3,0))</f>
        <v>0</v>
      </c>
      <c r="U68" s="178">
        <f aca="true" t="shared" si="42" ref="U68:U129">IF(D68="Freilos",3,IF(G68&gt;F68,3,0))</f>
        <v>0</v>
      </c>
      <c r="V68" s="117">
        <f>IF(Auslosung_Turnierdaten!F9="","",1)</f>
      </c>
      <c r="W68" s="118">
        <f>IF(SP64!V68="","",Auslosung_Turnierdaten!F9)</f>
      </c>
      <c r="X68" s="118">
        <f>IF(SP64!V68="","",Auslosung_Turnierdaten!G9)</f>
      </c>
      <c r="Y68" s="118">
        <f>IF(SP64!V68="","",Auslosung_Turnierdaten!H9)</f>
      </c>
      <c r="Z68" s="118">
        <f>IF(SP64!V68="","",Auslosung_Turnierdaten!I9)</f>
      </c>
      <c r="AA68" s="119">
        <f>IF(SP64!V68="","",SP64!X3)</f>
      </c>
      <c r="AB68" s="119">
        <f>IF(SP64!V68="","",SP64!Z3)</f>
      </c>
      <c r="AC68" s="119">
        <f>IF(SP64!V68="","",SP64!AA3)</f>
      </c>
      <c r="AD68" s="119">
        <f>IF(SP64!V68="","",SP64!AC3)</f>
      </c>
      <c r="AE68" s="119">
        <f>IF(SP64!V68="","",IF($AE$67="VSp",SP64!AD3,SP64!AF3))</f>
      </c>
      <c r="AF68" s="120">
        <f>IF(SP64!V68="","",IF($AF$67="Quot",SP64!AE3,SP64!AG3))</f>
      </c>
      <c r="AG68" s="120">
        <f>IF($AG$67="BED",SP64!AH3,"")</f>
      </c>
      <c r="AH68" s="125">
        <f>IF($AH$67="HS",SP64!AI3,"")</f>
      </c>
      <c r="AM68" s="180"/>
      <c r="AN68" s="181"/>
      <c r="AO68" s="182"/>
      <c r="AP68" s="64">
        <f aca="true" t="shared" si="43" ref="AP68:AP129">IF(T68+U68&gt;0,"",L68)</f>
        <v>0</v>
      </c>
      <c r="AQ68" s="64">
        <f>IF(AND(COUNTIF(L68:L68:$L$129,L68)=1,F68+G68&gt;0),L68&amp;"-","")</f>
      </c>
      <c r="AR68" s="64">
        <f aca="true" t="shared" si="44" ref="AR68:AR129">IF(OR(D68="Freilos",E68="Freilos"),1,"")</f>
      </c>
      <c r="AS68" s="202"/>
      <c r="AT68" s="202"/>
      <c r="AU68" s="203">
        <f aca="true" t="shared" si="45" ref="AU68:AU129">IF(AT68&gt;AS68,IF(AND(AR68="",AT68=""),"",AT68-AS68),"")</f>
      </c>
    </row>
    <row r="69" spans="3:47" ht="10.5">
      <c r="C69" s="108">
        <v>67</v>
      </c>
      <c r="D69" s="116" t="str">
        <f>IF(D37="Verlierer 5","Sieger 35",IF(E37="Verlierer 6","Sieger 35",IF(D37=E37,"Freilos",IF(E37="Freilos",D37,IF(D37="Freilos",E37,IF(F37&gt;G37,D37,IF(G37&gt;F37,E37,"Sieger 35")))))))</f>
        <v>Sieger 35</v>
      </c>
      <c r="E69" s="94" t="str">
        <f>IF(D64="Sieger 27","Verlierer 62",IF(E64="Sieger 28","Verlierer 62",IF(D64=E64,"Freilos",IF(E64="Freilos",E64,IF(D64="Freilos",D64,IF(F64&gt;G64,E64,IF(G64&gt;F64,D64,"Verlierer 62")))))))</f>
        <v>Verlierer 62</v>
      </c>
      <c r="F69" s="79"/>
      <c r="G69" s="80"/>
      <c r="H69" s="95"/>
      <c r="I69" s="95"/>
      <c r="J69" s="95"/>
      <c r="K69" s="96"/>
      <c r="L69" s="217"/>
      <c r="M69" s="92">
        <f t="shared" si="35"/>
      </c>
      <c r="N69" s="64">
        <f t="shared" si="36"/>
        <v>0</v>
      </c>
      <c r="O69" s="64">
        <f t="shared" si="37"/>
        <v>0</v>
      </c>
      <c r="P69" s="64">
        <f t="shared" si="38"/>
        <v>0</v>
      </c>
      <c r="Q69" s="64">
        <f aca="true" t="shared" si="46" ref="Q69:Q129">IF(D69="Freilos",0,IF(F69&lt;G69,1,IF(F69&gt;G69,1,0)))</f>
        <v>0</v>
      </c>
      <c r="R69" s="64">
        <f t="shared" si="39"/>
        <v>0</v>
      </c>
      <c r="S69" s="64">
        <f t="shared" si="40"/>
        <v>0</v>
      </c>
      <c r="T69" s="178">
        <f t="shared" si="41"/>
        <v>0</v>
      </c>
      <c r="U69" s="178">
        <f t="shared" si="42"/>
        <v>0</v>
      </c>
      <c r="V69" s="121">
        <f>IF(Auslosung_Turnierdaten!F10="","",2)</f>
      </c>
      <c r="W69" s="122">
        <f>IF(SP64!V69="","",Auslosung_Turnierdaten!F10)</f>
      </c>
      <c r="X69" s="122">
        <f>IF(SP64!V69="","",Auslosung_Turnierdaten!G10)</f>
      </c>
      <c r="Y69" s="122">
        <f>IF(SP64!V69="","",Auslosung_Turnierdaten!H10)</f>
      </c>
      <c r="Z69" s="122">
        <f>IF(SP64!V69="","",Auslosung_Turnierdaten!I10)</f>
      </c>
      <c r="AA69" s="123">
        <f>IF(SP64!V69="","",SP64!X4)</f>
      </c>
      <c r="AB69" s="123">
        <f>IF(SP64!V69="","",SP64!Z4)</f>
      </c>
      <c r="AC69" s="123">
        <f>IF(SP64!V69="","",SP64!AA4)</f>
      </c>
      <c r="AD69" s="123">
        <f>IF(SP64!V69="","",SP64!AC4)</f>
      </c>
      <c r="AE69" s="123">
        <f>IF(SP64!V69="","",IF($AE$67="VSp",SP64!AD4,SP64!AF4))</f>
      </c>
      <c r="AF69" s="124">
        <f>IF(SP64!V69="","",IF($AF$67="Quot",SP64!AE4,SP64!AG4))</f>
      </c>
      <c r="AG69" s="124">
        <f>IF($AG$67="BED",SP64!AH4,"")</f>
      </c>
      <c r="AH69" s="125">
        <f>IF($AH$67="HS",SP64!AI4,"")</f>
      </c>
      <c r="AM69" s="180"/>
      <c r="AN69" s="181"/>
      <c r="AO69" s="182"/>
      <c r="AP69" s="64">
        <f t="shared" si="43"/>
        <v>0</v>
      </c>
      <c r="AQ69" s="64">
        <f>IF(AND(COUNTIF(L69:L69:$L$129,L69)=1,F69+G69&gt;0),L69&amp;"-","")</f>
      </c>
      <c r="AR69" s="64">
        <f t="shared" si="44"/>
      </c>
      <c r="AS69" s="202"/>
      <c r="AT69" s="202"/>
      <c r="AU69" s="203">
        <f t="shared" si="45"/>
      </c>
    </row>
    <row r="70" spans="3:47" ht="10.5">
      <c r="C70" s="108">
        <v>68</v>
      </c>
      <c r="D70" s="116" t="str">
        <f>IF(D38="Verlierer 7","Sieger 36",IF(E38="Verlierer 8","Sieger 36",IF(D38=E38,"Freilos",IF(E38="Freilos",D38,IF(D38="Freilos",E38,IF(F38&gt;G38,D38,IF(G38&gt;F38,E38,"Sieger 36")))))))</f>
        <v>Sieger 36</v>
      </c>
      <c r="E70" s="94" t="str">
        <f>IF(D63="Sieger 25","Verlierer 61",IF(E63="Sieger 26","Verlierer 61",IF(D63=E63,"Freilos",IF(E63="Freilos",E63,IF(D63="Freilos",D63,IF(F63&gt;G63,E63,IF(G63&gt;F63,D63,"Verlierer 61")))))))</f>
        <v>Verlierer 61</v>
      </c>
      <c r="F70" s="79"/>
      <c r="G70" s="80"/>
      <c r="H70" s="95"/>
      <c r="I70" s="95"/>
      <c r="J70" s="95"/>
      <c r="K70" s="96"/>
      <c r="L70" s="217"/>
      <c r="M70" s="92">
        <f t="shared" si="35"/>
      </c>
      <c r="N70" s="64">
        <f t="shared" si="36"/>
        <v>0</v>
      </c>
      <c r="O70" s="64">
        <f t="shared" si="37"/>
        <v>0</v>
      </c>
      <c r="P70" s="64">
        <f t="shared" si="38"/>
        <v>0</v>
      </c>
      <c r="Q70" s="64">
        <f t="shared" si="46"/>
        <v>0</v>
      </c>
      <c r="R70" s="64">
        <f t="shared" si="39"/>
        <v>0</v>
      </c>
      <c r="S70" s="64">
        <f t="shared" si="40"/>
        <v>0</v>
      </c>
      <c r="T70" s="178">
        <f t="shared" si="41"/>
        <v>0</v>
      </c>
      <c r="U70" s="178">
        <f t="shared" si="42"/>
        <v>0</v>
      </c>
      <c r="V70" s="121">
        <f>IF(Auslosung_Turnierdaten!F11="","",3)</f>
      </c>
      <c r="W70" s="122">
        <f>IF(SP64!V70="","",Auslosung_Turnierdaten!F11)</f>
      </c>
      <c r="X70" s="122">
        <f>IF(SP64!V70="","",Auslosung_Turnierdaten!G11)</f>
      </c>
      <c r="Y70" s="122">
        <f>IF(SP64!V70="","",Auslosung_Turnierdaten!H11)</f>
      </c>
      <c r="Z70" s="122">
        <f>IF(SP64!V70="","",Auslosung_Turnierdaten!I11)</f>
      </c>
      <c r="AA70" s="123">
        <f>IF(SP64!V70="","",SP64!X5)</f>
      </c>
      <c r="AB70" s="123">
        <f>IF(SP64!V70="","",SP64!Z5)</f>
      </c>
      <c r="AC70" s="123">
        <f>IF(SP64!V70="","",SP64!AA5)</f>
      </c>
      <c r="AD70" s="123">
        <f>IF(SP64!V70="","",SP64!AC5)</f>
      </c>
      <c r="AE70" s="123">
        <f>IF(SP64!V70="","",IF($AE$67="VSp",SP64!AD5,SP64!AF5))</f>
      </c>
      <c r="AF70" s="124">
        <f>IF(SP64!V70="","",IF($AF$67="Quot",SP64!AE5,SP64!AG5))</f>
      </c>
      <c r="AG70" s="124">
        <f>IF($AG$67="BED",SP64!AH5,"")</f>
      </c>
      <c r="AH70" s="125">
        <f>IF($AH$67="HS",SP64!AI5,"")</f>
      </c>
      <c r="AM70" s="180"/>
      <c r="AN70" s="181"/>
      <c r="AO70" s="182"/>
      <c r="AP70" s="64">
        <f t="shared" si="43"/>
        <v>0</v>
      </c>
      <c r="AQ70" s="64">
        <f>IF(AND(COUNTIF(L70:L70:$L$129,L70)=1,F70+G70&gt;0),L70&amp;"-","")</f>
      </c>
      <c r="AR70" s="64">
        <f t="shared" si="44"/>
      </c>
      <c r="AS70" s="202"/>
      <c r="AT70" s="202"/>
      <c r="AU70" s="203">
        <f t="shared" si="45"/>
      </c>
    </row>
    <row r="71" spans="3:47" ht="10.5">
      <c r="C71" s="108">
        <v>69</v>
      </c>
      <c r="D71" s="116" t="str">
        <f>IF(D39="Verlierer 9","Sieger 37",IF(E39="Verlierer 10","Sieger 37",IF(D39=E39,"Freilos",IF(E39="Freilos",D39,IF(D39="Freilos",E39,IF(F39&gt;G39,D39,IF(G39&gt;F39,E39,"Sieger 37")))))))</f>
        <v>Sieger 37</v>
      </c>
      <c r="E71" s="94" t="str">
        <f>IF(D62="Sieger 23","Verlierer 60",IF(E62="Sieger 24","Verlierer 60",IF(D62=E62,"Freilos",IF(E62="Freilos",E62,IF(D62="Freilos",D62,IF(F62&gt;G62,E62,IF(G62&gt;F62,D62,"Verlierer 60")))))))</f>
        <v>Verlierer 60</v>
      </c>
      <c r="F71" s="79"/>
      <c r="G71" s="80"/>
      <c r="H71" s="95"/>
      <c r="I71" s="95"/>
      <c r="J71" s="95"/>
      <c r="K71" s="96"/>
      <c r="L71" s="217"/>
      <c r="M71" s="92">
        <f t="shared" si="35"/>
      </c>
      <c r="N71" s="64">
        <f t="shared" si="36"/>
        <v>0</v>
      </c>
      <c r="O71" s="64">
        <f t="shared" si="37"/>
        <v>0</v>
      </c>
      <c r="P71" s="64">
        <f t="shared" si="38"/>
        <v>0</v>
      </c>
      <c r="Q71" s="64">
        <f t="shared" si="46"/>
        <v>0</v>
      </c>
      <c r="R71" s="64">
        <f t="shared" si="39"/>
        <v>0</v>
      </c>
      <c r="S71" s="64">
        <f t="shared" si="40"/>
        <v>0</v>
      </c>
      <c r="T71" s="178">
        <f t="shared" si="41"/>
        <v>0</v>
      </c>
      <c r="U71" s="178">
        <f t="shared" si="42"/>
        <v>0</v>
      </c>
      <c r="V71" s="121">
        <f>IF(Auslosung_Turnierdaten!F12="","",4)</f>
      </c>
      <c r="W71" s="122">
        <f>IF(SP64!V71="","",Auslosung_Turnierdaten!F12)</f>
      </c>
      <c r="X71" s="122">
        <f>IF(SP64!V71="","",Auslosung_Turnierdaten!G12)</f>
      </c>
      <c r="Y71" s="122">
        <f>IF(SP64!V71="","",Auslosung_Turnierdaten!H12)</f>
      </c>
      <c r="Z71" s="122">
        <f>IF(SP64!V71="","",Auslosung_Turnierdaten!I12)</f>
      </c>
      <c r="AA71" s="123">
        <f>IF(SP64!V71="","",SP64!X6)</f>
      </c>
      <c r="AB71" s="123">
        <f>IF(SP64!V71="","",SP64!Z6)</f>
      </c>
      <c r="AC71" s="123">
        <f>IF(SP64!V71="","",SP64!AA6)</f>
      </c>
      <c r="AD71" s="123">
        <f>IF(SP64!V71="","",SP64!AC6)</f>
      </c>
      <c r="AE71" s="123">
        <f>IF(SP64!V71="","",IF($AE$67="VSp",SP64!AD6,SP64!AF6))</f>
      </c>
      <c r="AF71" s="124">
        <f>IF(SP64!V71="","",IF($AF$67="Quot",SP64!AE6,SP64!AG6))</f>
      </c>
      <c r="AG71" s="124">
        <f>IF($AG$67="BED",SP64!AH6,"")</f>
      </c>
      <c r="AH71" s="125">
        <f>IF($AH$67="HS",SP64!AI6,"")</f>
      </c>
      <c r="AM71" s="180"/>
      <c r="AN71" s="181"/>
      <c r="AO71" s="182"/>
      <c r="AP71" s="64">
        <f t="shared" si="43"/>
        <v>0</v>
      </c>
      <c r="AQ71" s="64">
        <f>IF(AND(COUNTIF(L71:L71:$L$129,L71)=1,F71+G71&gt;0),L71&amp;"-","")</f>
      </c>
      <c r="AR71" s="64">
        <f t="shared" si="44"/>
      </c>
      <c r="AS71" s="202"/>
      <c r="AT71" s="202"/>
      <c r="AU71" s="203">
        <f t="shared" si="45"/>
      </c>
    </row>
    <row r="72" spans="3:47" ht="10.5">
      <c r="C72" s="108">
        <v>70</v>
      </c>
      <c r="D72" s="116" t="str">
        <f>IF(D40="Verlierer 11","Sieger 38",IF(E40="Verlierer 12","Sieger 38",IF(D40=E40,"Freilos",IF(E40="Freilos",D40,IF(D40="Freilos",E40,IF(F40&gt;G40,D40,IF(G40&gt;F40,E40,"Sieger 38")))))))</f>
        <v>Sieger 38</v>
      </c>
      <c r="E72" s="94" t="str">
        <f>IF(D61="Sieger 21","Verlierer 59",IF(E61="Sieger 22","Verlierer 59",IF(D61=E61,"Freilos",IF(E61="Freilos",E61,IF(D61="Freilos",D61,IF(F61&gt;G61,E61,IF(G61&gt;F61,D61,"Verlierer 59")))))))</f>
        <v>Verlierer 59</v>
      </c>
      <c r="F72" s="79"/>
      <c r="G72" s="80"/>
      <c r="H72" s="95"/>
      <c r="I72" s="95"/>
      <c r="J72" s="95"/>
      <c r="K72" s="96"/>
      <c r="L72" s="217"/>
      <c r="M72" s="92">
        <f t="shared" si="35"/>
      </c>
      <c r="N72" s="64">
        <f t="shared" si="36"/>
        <v>0</v>
      </c>
      <c r="O72" s="64">
        <f t="shared" si="37"/>
        <v>0</v>
      </c>
      <c r="P72" s="64">
        <f t="shared" si="38"/>
        <v>0</v>
      </c>
      <c r="Q72" s="64">
        <f t="shared" si="46"/>
        <v>0</v>
      </c>
      <c r="R72" s="64">
        <f t="shared" si="39"/>
        <v>0</v>
      </c>
      <c r="S72" s="64">
        <f t="shared" si="40"/>
        <v>0</v>
      </c>
      <c r="T72" s="178">
        <f t="shared" si="41"/>
        <v>0</v>
      </c>
      <c r="U72" s="178">
        <f t="shared" si="42"/>
        <v>0</v>
      </c>
      <c r="V72" s="121">
        <f>IF(Auslosung_Turnierdaten!F13="","",5)</f>
      </c>
      <c r="W72" s="122">
        <f>IF(SP64!V72="","",Auslosung_Turnierdaten!F13)</f>
      </c>
      <c r="X72" s="122">
        <f>IF(SP64!V72="","",Auslosung_Turnierdaten!G13)</f>
      </c>
      <c r="Y72" s="122">
        <f>IF(SP64!V72="","",Auslosung_Turnierdaten!H13)</f>
      </c>
      <c r="Z72" s="122">
        <f>IF(SP64!V72="","",Auslosung_Turnierdaten!I13)</f>
      </c>
      <c r="AA72" s="123">
        <f>IF(SP64!V72="","",SP64!X7)</f>
      </c>
      <c r="AB72" s="123">
        <f>IF(SP64!V72="","",SP64!Z7)</f>
      </c>
      <c r="AC72" s="123">
        <f>IF(SP64!V72="","",SP64!AA7)</f>
      </c>
      <c r="AD72" s="123">
        <f>IF(SP64!V72="","",SP64!AC7)</f>
      </c>
      <c r="AE72" s="123">
        <f>IF(SP64!V72="","",IF($AE$67="VSp",SP64!AD7,SP64!AF7))</f>
      </c>
      <c r="AF72" s="124">
        <f>IF(SP64!V72="","",IF($AF$67="Quot",SP64!AE7,SP64!AG7))</f>
      </c>
      <c r="AG72" s="124">
        <f>IF($AG$67="BED",SP64!AH7,"")</f>
      </c>
      <c r="AH72" s="125">
        <f>IF($AH$67="HS",SP64!AI7,"")</f>
      </c>
      <c r="AM72" s="180"/>
      <c r="AN72" s="181"/>
      <c r="AO72" s="182"/>
      <c r="AP72" s="64">
        <f t="shared" si="43"/>
        <v>0</v>
      </c>
      <c r="AQ72" s="64">
        <f>IF(AND(COUNTIF(L72:L72:$L$129,L72)=1,F72+G72&gt;0),L72&amp;"-","")</f>
      </c>
      <c r="AR72" s="64">
        <f t="shared" si="44"/>
      </c>
      <c r="AS72" s="202"/>
      <c r="AT72" s="202"/>
      <c r="AU72" s="203">
        <f t="shared" si="45"/>
      </c>
    </row>
    <row r="73" spans="3:47" ht="10.5">
      <c r="C73" s="108">
        <v>71</v>
      </c>
      <c r="D73" s="116" t="str">
        <f>IF(D41="Verlierer 13","Sieger 39",IF(E41="Verlierer 14","Sieger 39",IF(D41=E41,"Freilos",IF(E41="Freilos",D41,IF(D41="Freilos",E41,IF(F41&gt;G41,D41,IF(G41&gt;F41,E41,"Sieger 39")))))))</f>
        <v>Sieger 39</v>
      </c>
      <c r="E73" s="94" t="str">
        <f>IF(D60="Sieger 19","Verlierer 58",IF(E60="Sieger 20","Verlierer 58",IF(D60=E60,"Freilos",IF(E60="Freilos",E60,IF(D60="Freilos",D60,IF(F60&gt;G60,E60,IF(G60&gt;F60,D60,"Verlierer 58")))))))</f>
        <v>Verlierer 58</v>
      </c>
      <c r="F73" s="79"/>
      <c r="G73" s="80"/>
      <c r="H73" s="95"/>
      <c r="I73" s="95"/>
      <c r="J73" s="95"/>
      <c r="K73" s="96"/>
      <c r="L73" s="217"/>
      <c r="M73" s="92">
        <f t="shared" si="35"/>
      </c>
      <c r="N73" s="64">
        <f t="shared" si="36"/>
        <v>0</v>
      </c>
      <c r="O73" s="64">
        <f t="shared" si="37"/>
        <v>0</v>
      </c>
      <c r="P73" s="64">
        <f t="shared" si="38"/>
        <v>0</v>
      </c>
      <c r="Q73" s="64">
        <f t="shared" si="46"/>
        <v>0</v>
      </c>
      <c r="R73" s="64">
        <f t="shared" si="39"/>
        <v>0</v>
      </c>
      <c r="S73" s="64">
        <f t="shared" si="40"/>
        <v>0</v>
      </c>
      <c r="T73" s="178">
        <f t="shared" si="41"/>
        <v>0</v>
      </c>
      <c r="U73" s="178">
        <f t="shared" si="42"/>
        <v>0</v>
      </c>
      <c r="V73" s="121">
        <f>IF(Auslosung_Turnierdaten!F14="","",6)</f>
      </c>
      <c r="W73" s="122">
        <f>IF(SP64!V73="","",Auslosung_Turnierdaten!F14)</f>
      </c>
      <c r="X73" s="122">
        <f>IF(SP64!V73="","",Auslosung_Turnierdaten!G14)</f>
      </c>
      <c r="Y73" s="122">
        <f>IF(SP64!V73="","",Auslosung_Turnierdaten!H14)</f>
      </c>
      <c r="Z73" s="122">
        <f>IF(SP64!V73="","",Auslosung_Turnierdaten!I14)</f>
      </c>
      <c r="AA73" s="123">
        <f>IF(SP64!V73="","",SP64!X8)</f>
      </c>
      <c r="AB73" s="123">
        <f>IF(SP64!V73="","",SP64!Z8)</f>
      </c>
      <c r="AC73" s="123">
        <f>IF(SP64!V73="","",SP64!AA8)</f>
      </c>
      <c r="AD73" s="123">
        <f>IF(SP64!V73="","",SP64!AC8)</f>
      </c>
      <c r="AE73" s="123">
        <f>IF(SP64!V73="","",IF($AE$67="VSp",SP64!AD8,SP64!AF8))</f>
      </c>
      <c r="AF73" s="124">
        <f>IF(SP64!V73="","",IF($AF$67="Quot",SP64!AE8,SP64!AG8))</f>
      </c>
      <c r="AG73" s="124">
        <f>IF($AG$67="BED",SP64!AH8,"")</f>
      </c>
      <c r="AH73" s="125">
        <f>IF($AH$67="HS",SP64!AI8,"")</f>
      </c>
      <c r="AM73" s="180"/>
      <c r="AN73" s="181"/>
      <c r="AO73" s="182"/>
      <c r="AP73" s="64">
        <f t="shared" si="43"/>
        <v>0</v>
      </c>
      <c r="AQ73" s="64">
        <f>IF(AND(COUNTIF(L73:L73:$L$129,L73)=1,F73+G73&gt;0),L73&amp;"-","")</f>
      </c>
      <c r="AR73" s="64">
        <f t="shared" si="44"/>
      </c>
      <c r="AS73" s="202"/>
      <c r="AT73" s="202"/>
      <c r="AU73" s="203">
        <f t="shared" si="45"/>
      </c>
    </row>
    <row r="74" spans="3:47" ht="10.5">
      <c r="C74" s="108">
        <v>72</v>
      </c>
      <c r="D74" s="116" t="str">
        <f>IF(D42="Verlierer 15","Sieger 40",IF(E42="Verlierer 16","Sieger 40",IF(D42=E42,"Freilos",IF(E42="Freilos",D42,IF(D42="Freilos",E42,IF(F42&gt;G42,D42,IF(G42&gt;F42,E42,"Sieger 40")))))))</f>
        <v>Sieger 40</v>
      </c>
      <c r="E74" s="94" t="str">
        <f>IF(D59="Sieger 17","Verlierer 57",IF(E59="Sieger 18","Verlierer 57",IF(D59=E59,"Freilos",IF(E59="Freilos",E59,IF(D59="Freilos",D59,IF(F59&gt;G59,E59,IF(G59&gt;F59,D59,"Verlierer 57")))))))</f>
        <v>Verlierer 57</v>
      </c>
      <c r="F74" s="79"/>
      <c r="G74" s="80"/>
      <c r="H74" s="95"/>
      <c r="I74" s="95"/>
      <c r="J74" s="95"/>
      <c r="K74" s="96"/>
      <c r="L74" s="217"/>
      <c r="M74" s="92">
        <f t="shared" si="35"/>
      </c>
      <c r="N74" s="64">
        <f t="shared" si="36"/>
        <v>0</v>
      </c>
      <c r="O74" s="64">
        <f t="shared" si="37"/>
        <v>0</v>
      </c>
      <c r="P74" s="64">
        <f t="shared" si="38"/>
        <v>0</v>
      </c>
      <c r="Q74" s="64">
        <f t="shared" si="46"/>
        <v>0</v>
      </c>
      <c r="R74" s="64">
        <f t="shared" si="39"/>
        <v>0</v>
      </c>
      <c r="S74" s="64">
        <f t="shared" si="40"/>
        <v>0</v>
      </c>
      <c r="T74" s="178">
        <f t="shared" si="41"/>
        <v>0</v>
      </c>
      <c r="U74" s="178">
        <f t="shared" si="42"/>
        <v>0</v>
      </c>
      <c r="V74" s="121">
        <f>IF(Auslosung_Turnierdaten!F15="","",7)</f>
      </c>
      <c r="W74" s="122">
        <f>IF(SP64!V74="","",Auslosung_Turnierdaten!F15)</f>
      </c>
      <c r="X74" s="122">
        <f>IF(SP64!V74="","",Auslosung_Turnierdaten!G15)</f>
      </c>
      <c r="Y74" s="122">
        <f>IF(SP64!V74="","",Auslosung_Turnierdaten!H15)</f>
      </c>
      <c r="Z74" s="122">
        <f>IF(SP64!V74="","",Auslosung_Turnierdaten!I15)</f>
      </c>
      <c r="AA74" s="123">
        <f>IF(SP64!V74="","",SP64!X9)</f>
      </c>
      <c r="AB74" s="123">
        <f>IF(SP64!V74="","",SP64!Z9)</f>
      </c>
      <c r="AC74" s="123">
        <f>IF(SP64!V74="","",SP64!AA9)</f>
      </c>
      <c r="AD74" s="123">
        <f>IF(SP64!V74="","",SP64!AC9)</f>
      </c>
      <c r="AE74" s="123">
        <f>IF(SP64!V74="","",IF($AE$67="VSp",SP64!AD9,SP64!AF9))</f>
      </c>
      <c r="AF74" s="124">
        <f>IF(SP64!V74="","",IF($AF$67="Quot",SP64!AE9,SP64!AG9))</f>
      </c>
      <c r="AG74" s="124">
        <f>IF($AG$67="BED",SP64!AH9,"")</f>
      </c>
      <c r="AH74" s="125">
        <f>IF($AH$67="HS",SP64!AI9,"")</f>
      </c>
      <c r="AM74" s="180"/>
      <c r="AN74" s="181"/>
      <c r="AO74" s="182"/>
      <c r="AP74" s="64">
        <f t="shared" si="43"/>
        <v>0</v>
      </c>
      <c r="AQ74" s="64">
        <f>IF(AND(COUNTIF(L74:L74:$L$129,L74)=1,F74+G74&gt;0),L74&amp;"-","")</f>
      </c>
      <c r="AR74" s="64">
        <f t="shared" si="44"/>
      </c>
      <c r="AS74" s="202"/>
      <c r="AT74" s="202"/>
      <c r="AU74" s="203">
        <f t="shared" si="45"/>
      </c>
    </row>
    <row r="75" spans="3:47" ht="10.5">
      <c r="C75" s="108">
        <v>73</v>
      </c>
      <c r="D75" s="116" t="str">
        <f>IF(D43="Verlierer 17","Sieger 41",IF(E43="Verlierer 18","Sieger 41",IF(D43=E43,"Freilos",IF(E43="Freilos",D43,IF(D43="Freilos",E43,IF(F43&gt;G43,D43,IF(G43&gt;F43,E43,"Sieger 41")))))))</f>
        <v>Sieger 41</v>
      </c>
      <c r="E75" s="94" t="str">
        <f>IF(D58="Sieger 15","Verlierer 56",IF(E58="Sieger 16","Verlierer 56",IF(D58=E58,"Freilos",IF(E58="Freilos",E58,IF(D58="Freilos",D58,IF(F58&gt;G58,E58,IF(G58&gt;F58,D58,"Verlierer 56")))))))</f>
        <v>Verlierer 56</v>
      </c>
      <c r="F75" s="79"/>
      <c r="G75" s="80"/>
      <c r="H75" s="95"/>
      <c r="I75" s="95"/>
      <c r="J75" s="95"/>
      <c r="K75" s="96"/>
      <c r="L75" s="217"/>
      <c r="M75" s="92">
        <f t="shared" si="35"/>
      </c>
      <c r="N75" s="64">
        <f t="shared" si="36"/>
        <v>0</v>
      </c>
      <c r="O75" s="64">
        <f t="shared" si="37"/>
        <v>0</v>
      </c>
      <c r="P75" s="64">
        <f t="shared" si="38"/>
        <v>0</v>
      </c>
      <c r="Q75" s="64">
        <f t="shared" si="46"/>
        <v>0</v>
      </c>
      <c r="R75" s="64">
        <f t="shared" si="39"/>
        <v>0</v>
      </c>
      <c r="S75" s="64">
        <f t="shared" si="40"/>
        <v>0</v>
      </c>
      <c r="T75" s="178">
        <f t="shared" si="41"/>
        <v>0</v>
      </c>
      <c r="U75" s="178">
        <f t="shared" si="42"/>
        <v>0</v>
      </c>
      <c r="V75" s="121">
        <f>IF(Auslosung_Turnierdaten!F16="","",8)</f>
      </c>
      <c r="W75" s="122">
        <f>IF(SP64!V75="","",Auslosung_Turnierdaten!F16)</f>
      </c>
      <c r="X75" s="122">
        <f>IF(SP64!V75="","",Auslosung_Turnierdaten!G16)</f>
      </c>
      <c r="Y75" s="122">
        <f>IF(SP64!V75="","",Auslosung_Turnierdaten!H16)</f>
      </c>
      <c r="Z75" s="122">
        <f>IF(SP64!V75="","",Auslosung_Turnierdaten!I16)</f>
      </c>
      <c r="AA75" s="123">
        <f>IF(SP64!V75="","",SP64!X10)</f>
      </c>
      <c r="AB75" s="123">
        <f>IF(SP64!V75="","",SP64!Z10)</f>
      </c>
      <c r="AC75" s="123">
        <f>IF(SP64!V75="","",SP64!AA10)</f>
      </c>
      <c r="AD75" s="123">
        <f>IF(SP64!V75="","",SP64!AC10)</f>
      </c>
      <c r="AE75" s="123">
        <f>IF(SP64!V75="","",IF($AE$67="VSp",SP64!AD10,SP64!AF10))</f>
      </c>
      <c r="AF75" s="124">
        <f>IF(SP64!V75="","",IF($AF$67="Quot",SP64!AE10,SP64!AG10))</f>
      </c>
      <c r="AG75" s="124">
        <f>IF($AG$67="BED",SP64!AH10,"")</f>
      </c>
      <c r="AH75" s="125">
        <f>IF($AH$67="HS",SP64!AI10,"")</f>
      </c>
      <c r="AM75" s="180"/>
      <c r="AN75" s="181"/>
      <c r="AO75" s="182"/>
      <c r="AP75" s="64">
        <f t="shared" si="43"/>
        <v>0</v>
      </c>
      <c r="AQ75" s="64">
        <f>IF(AND(COUNTIF(L75:L75:$L$129,L75)=1,F75+G75&gt;0),L75&amp;"-","")</f>
      </c>
      <c r="AR75" s="64">
        <f t="shared" si="44"/>
      </c>
      <c r="AS75" s="202"/>
      <c r="AT75" s="202"/>
      <c r="AU75" s="203">
        <f t="shared" si="45"/>
      </c>
    </row>
    <row r="76" spans="3:47" ht="10.5">
      <c r="C76" s="108">
        <v>74</v>
      </c>
      <c r="D76" s="116" t="str">
        <f>IF(D44="Verlierer 19","Sieger 42",IF(E44="Verlierer 20","Sieger 42",IF(D44=E44,"Freilos",IF(E44="Freilos",D44,IF(D44="Freilos",E44,IF(F44&gt;G44,D44,IF(G44&gt;F44,E44,"Sieger 42")))))))</f>
        <v>Sieger 42</v>
      </c>
      <c r="E76" s="94" t="str">
        <f>IF(D57="Sieger 13","Verlierer 55",IF(E57="Sieger 14","Verlierer 55",IF(D57=E57,"Freilos",IF(E57="Freilos",E57,IF(D57="Freilos",D57,IF(F57&gt;G57,E57,IF(G57&gt;F57,D57,"Verlierer 55")))))))</f>
        <v>Verlierer 55</v>
      </c>
      <c r="F76" s="79"/>
      <c r="G76" s="80"/>
      <c r="H76" s="95"/>
      <c r="I76" s="95"/>
      <c r="J76" s="95"/>
      <c r="K76" s="96"/>
      <c r="L76" s="217"/>
      <c r="M76" s="92">
        <f t="shared" si="35"/>
      </c>
      <c r="N76" s="64">
        <f t="shared" si="36"/>
        <v>0</v>
      </c>
      <c r="O76" s="64">
        <f t="shared" si="37"/>
        <v>0</v>
      </c>
      <c r="P76" s="64">
        <f t="shared" si="38"/>
        <v>0</v>
      </c>
      <c r="Q76" s="64">
        <f t="shared" si="46"/>
        <v>0</v>
      </c>
      <c r="R76" s="64">
        <f t="shared" si="39"/>
        <v>0</v>
      </c>
      <c r="S76" s="64">
        <f t="shared" si="40"/>
        <v>0</v>
      </c>
      <c r="T76" s="178">
        <f t="shared" si="41"/>
        <v>0</v>
      </c>
      <c r="U76" s="178">
        <f t="shared" si="42"/>
        <v>0</v>
      </c>
      <c r="V76" s="121">
        <f>IF(Auslosung_Turnierdaten!F17="","",9)</f>
      </c>
      <c r="W76" s="122">
        <f>IF(SP64!V76="","",Auslosung_Turnierdaten!F17)</f>
      </c>
      <c r="X76" s="122">
        <f>IF(SP64!V76="","",Auslosung_Turnierdaten!G17)</f>
      </c>
      <c r="Y76" s="122">
        <f>IF(SP64!V76="","",Auslosung_Turnierdaten!H17)</f>
      </c>
      <c r="Z76" s="122">
        <f>IF(SP64!V76="","",Auslosung_Turnierdaten!I17)</f>
      </c>
      <c r="AA76" s="123">
        <f>IF(SP64!V76="","",SP64!X11)</f>
      </c>
      <c r="AB76" s="123">
        <f>IF(SP64!V76="","",SP64!Z11)</f>
      </c>
      <c r="AC76" s="123">
        <f>IF(SP64!V76="","",SP64!AA11)</f>
      </c>
      <c r="AD76" s="123">
        <f>IF(SP64!V76="","",SP64!AC11)</f>
      </c>
      <c r="AE76" s="123">
        <f>IF(SP64!V76="","",IF($AE$67="VSp",SP64!AD11,SP64!AF11))</f>
      </c>
      <c r="AF76" s="124">
        <f>IF(SP64!V76="","",IF($AF$67="Quot",SP64!AE11,SP64!AG11))</f>
      </c>
      <c r="AG76" s="124">
        <f>IF($AG$67="BED",SP64!AH11,"")</f>
      </c>
      <c r="AH76" s="125">
        <f>IF($AH$67="HS",SP64!AI11,"")</f>
      </c>
      <c r="AM76" s="180"/>
      <c r="AN76" s="181"/>
      <c r="AO76" s="182"/>
      <c r="AP76" s="64">
        <f t="shared" si="43"/>
        <v>0</v>
      </c>
      <c r="AQ76" s="64">
        <f>IF(AND(COUNTIF(L76:L76:$L$129,L76)=1,F76+G76&gt;0),L76&amp;"-","")</f>
      </c>
      <c r="AR76" s="64">
        <f t="shared" si="44"/>
      </c>
      <c r="AS76" s="202"/>
      <c r="AT76" s="202"/>
      <c r="AU76" s="203">
        <f t="shared" si="45"/>
      </c>
    </row>
    <row r="77" spans="3:47" ht="10.5">
      <c r="C77" s="108">
        <v>75</v>
      </c>
      <c r="D77" s="116" t="str">
        <f>IF(D45="Verlierer 21","Sieger 43",IF(E45="Verlierer 22","Sieger 43",IF(D45=E45,"Freilos",IF(E45="Freilos",D45,IF(D45="Freilos",E45,IF(F45&gt;G45,D45,IF(G45&gt;F45,E45,"Sieger 43")))))))</f>
        <v>Sieger 43</v>
      </c>
      <c r="E77" s="94" t="str">
        <f>IF(D56="Sieger 11","Verlierer 54",IF(E56="Sieger 12","Verlierer 54",IF(D56=E56,"Freilos",IF(E56="Freilos",E56,IF(D56="Freilos",D56,IF(F56&gt;G56,E56,IF(G56&gt;F56,D56,"Verlierer 54")))))))</f>
        <v>Verlierer 54</v>
      </c>
      <c r="F77" s="79"/>
      <c r="G77" s="80"/>
      <c r="H77" s="95"/>
      <c r="I77" s="95"/>
      <c r="J77" s="95"/>
      <c r="K77" s="96"/>
      <c r="L77" s="217"/>
      <c r="M77" s="92">
        <f t="shared" si="35"/>
      </c>
      <c r="N77" s="64">
        <f t="shared" si="36"/>
        <v>0</v>
      </c>
      <c r="O77" s="64">
        <f t="shared" si="37"/>
        <v>0</v>
      </c>
      <c r="P77" s="64">
        <f t="shared" si="38"/>
        <v>0</v>
      </c>
      <c r="Q77" s="64">
        <f t="shared" si="46"/>
        <v>0</v>
      </c>
      <c r="R77" s="64">
        <f t="shared" si="39"/>
        <v>0</v>
      </c>
      <c r="S77" s="64">
        <f t="shared" si="40"/>
        <v>0</v>
      </c>
      <c r="T77" s="178">
        <f t="shared" si="41"/>
        <v>0</v>
      </c>
      <c r="U77" s="178">
        <f t="shared" si="42"/>
        <v>0</v>
      </c>
      <c r="V77" s="121">
        <f>IF(Auslosung_Turnierdaten!F18="","",10)</f>
      </c>
      <c r="W77" s="122">
        <f>IF(SP64!V77="","",Auslosung_Turnierdaten!F18)</f>
      </c>
      <c r="X77" s="122">
        <f>IF(SP64!V77="","",Auslosung_Turnierdaten!G18)</f>
      </c>
      <c r="Y77" s="122">
        <f>IF(SP64!V77="","",Auslosung_Turnierdaten!H18)</f>
      </c>
      <c r="Z77" s="122">
        <f>IF(SP64!V77="","",Auslosung_Turnierdaten!I18)</f>
      </c>
      <c r="AA77" s="123">
        <f>IF(SP64!V77="","",SP64!X12)</f>
      </c>
      <c r="AB77" s="123">
        <f>IF(SP64!V77="","",SP64!Z12)</f>
      </c>
      <c r="AC77" s="123">
        <f>IF(SP64!V77="","",SP64!AA12)</f>
      </c>
      <c r="AD77" s="123">
        <f>IF(SP64!V77="","",SP64!AC12)</f>
      </c>
      <c r="AE77" s="123">
        <f>IF(SP64!V77="","",IF($AE$67="VSp",SP64!AD12,SP64!AF12))</f>
      </c>
      <c r="AF77" s="124">
        <f>IF(SP64!V77="","",IF($AF$67="Quot",SP64!AE12,SP64!AG12))</f>
      </c>
      <c r="AG77" s="124">
        <f>IF($AG$67="BED",SP64!AH12,"")</f>
      </c>
      <c r="AH77" s="125">
        <f>IF($AH$67="HS",SP64!AI12,"")</f>
      </c>
      <c r="AM77" s="180"/>
      <c r="AN77" s="181"/>
      <c r="AO77" s="182"/>
      <c r="AP77" s="64">
        <f t="shared" si="43"/>
        <v>0</v>
      </c>
      <c r="AQ77" s="64">
        <f>IF(AND(COUNTIF(L77:L77:$L$129,L77)=1,F77+G77&gt;0),L77&amp;"-","")</f>
      </c>
      <c r="AR77" s="64">
        <f t="shared" si="44"/>
      </c>
      <c r="AS77" s="202"/>
      <c r="AT77" s="202"/>
      <c r="AU77" s="203">
        <f t="shared" si="45"/>
      </c>
    </row>
    <row r="78" spans="3:47" ht="10.5">
      <c r="C78" s="108">
        <v>76</v>
      </c>
      <c r="D78" s="116" t="str">
        <f>IF(D46="Verlierer 23","Sieger 44",IF(E46="Verlierer 24","Sieger 44",IF(D46=E46,"Freilos",IF(E46="Freilos",D46,IF(D46="Freilos",E46,IF(F46&gt;G46,D46,IF(G46&gt;F46,E46,"Sieger 44")))))))</f>
        <v>Sieger 44</v>
      </c>
      <c r="E78" s="94" t="str">
        <f>IF(D55="Sieger 9","Verlierer 53",IF(E55="Sieger 10","Verlierer 53",IF(D55=E55,"Freilos",IF(E55="Freilos",E55,IF(D55="Freilos",D55,IF(F55&gt;G55,E55,IF(G55&gt;F55,D55,"Verlierer 53")))))))</f>
        <v>Verlierer 53</v>
      </c>
      <c r="F78" s="79"/>
      <c r="G78" s="80"/>
      <c r="H78" s="95"/>
      <c r="I78" s="95"/>
      <c r="J78" s="95"/>
      <c r="K78" s="96"/>
      <c r="L78" s="217"/>
      <c r="M78" s="92">
        <f t="shared" si="35"/>
      </c>
      <c r="N78" s="64">
        <f t="shared" si="36"/>
        <v>0</v>
      </c>
      <c r="O78" s="64">
        <f t="shared" si="37"/>
        <v>0</v>
      </c>
      <c r="P78" s="64">
        <f t="shared" si="38"/>
        <v>0</v>
      </c>
      <c r="Q78" s="64">
        <f t="shared" si="46"/>
        <v>0</v>
      </c>
      <c r="R78" s="64">
        <f t="shared" si="39"/>
        <v>0</v>
      </c>
      <c r="S78" s="64">
        <f t="shared" si="40"/>
        <v>0</v>
      </c>
      <c r="T78" s="178">
        <f t="shared" si="41"/>
        <v>0</v>
      </c>
      <c r="U78" s="178">
        <f t="shared" si="42"/>
        <v>0</v>
      </c>
      <c r="V78" s="121">
        <f>IF(Auslosung_Turnierdaten!F19="","",11)</f>
      </c>
      <c r="W78" s="122">
        <f>IF(SP64!V78="","",Auslosung_Turnierdaten!F19)</f>
      </c>
      <c r="X78" s="122">
        <f>IF(SP64!V78="","",Auslosung_Turnierdaten!G19)</f>
      </c>
      <c r="Y78" s="122">
        <f>IF(SP64!V78="","",Auslosung_Turnierdaten!H19)</f>
      </c>
      <c r="Z78" s="122">
        <f>IF(SP64!V78="","",Auslosung_Turnierdaten!I19)</f>
      </c>
      <c r="AA78" s="123">
        <f>IF(SP64!V78="","",SP64!X13)</f>
      </c>
      <c r="AB78" s="123">
        <f>IF(SP64!V78="","",SP64!Z13)</f>
      </c>
      <c r="AC78" s="123">
        <f>IF(SP64!V78="","",SP64!AA13)</f>
      </c>
      <c r="AD78" s="123">
        <f>IF(SP64!V78="","",SP64!AC13)</f>
      </c>
      <c r="AE78" s="123">
        <f>IF(SP64!V78="","",IF($AE$67="VSp",SP64!AD13,SP64!AF13))</f>
      </c>
      <c r="AF78" s="124">
        <f>IF(SP64!V78="","",IF($AF$67="Quot",SP64!AE13,SP64!AG13))</f>
      </c>
      <c r="AG78" s="124">
        <f>IF($AG$67="BED",SP64!AH13,"")</f>
      </c>
      <c r="AH78" s="125">
        <f>IF($AH$67="HS",SP64!AI13,"")</f>
      </c>
      <c r="AM78" s="180"/>
      <c r="AN78" s="181"/>
      <c r="AO78" s="182"/>
      <c r="AP78" s="64">
        <f t="shared" si="43"/>
        <v>0</v>
      </c>
      <c r="AQ78" s="64">
        <f>IF(AND(COUNTIF(L78:L78:$L$129,L78)=1,F78+G78&gt;0),L78&amp;"-","")</f>
      </c>
      <c r="AR78" s="64">
        <f t="shared" si="44"/>
      </c>
      <c r="AS78" s="202"/>
      <c r="AT78" s="202"/>
      <c r="AU78" s="203">
        <f t="shared" si="45"/>
      </c>
    </row>
    <row r="79" spans="3:47" ht="10.5">
      <c r="C79" s="108">
        <v>77</v>
      </c>
      <c r="D79" s="116" t="str">
        <f>IF(D47="Verlierer 25","Sieger 45",IF(E47="Verlierer 26","Sieger 45",IF(D47=E47,"Freilos",IF(E47="Freilos",D47,IF(D47="Freilos",E47,IF(F47&gt;G47,D47,IF(G47&gt;F47,E47,"Sieger 45")))))))</f>
        <v>Sieger 45</v>
      </c>
      <c r="E79" s="94" t="str">
        <f>IF(D54="Sieger 7","Verlierer 52",IF(E54="Sieger 8","Verlierer 52",IF(D54=E54,"Freilos",IF(E54="Freilos",E54,IF(D54="Freilos",D54,IF(F54&gt;G54,E54,IF(G54&gt;F54,D54,"Verlierer 52")))))))</f>
        <v>Verlierer 52</v>
      </c>
      <c r="F79" s="79"/>
      <c r="G79" s="80"/>
      <c r="H79" s="95"/>
      <c r="I79" s="95"/>
      <c r="J79" s="95"/>
      <c r="K79" s="96"/>
      <c r="L79" s="217"/>
      <c r="M79" s="92">
        <f t="shared" si="35"/>
      </c>
      <c r="N79" s="64">
        <f t="shared" si="36"/>
        <v>0</v>
      </c>
      <c r="O79" s="64">
        <f t="shared" si="37"/>
        <v>0</v>
      </c>
      <c r="P79" s="64">
        <f t="shared" si="38"/>
        <v>0</v>
      </c>
      <c r="Q79" s="64">
        <f t="shared" si="46"/>
        <v>0</v>
      </c>
      <c r="R79" s="64">
        <f t="shared" si="39"/>
        <v>0</v>
      </c>
      <c r="S79" s="64">
        <f t="shared" si="40"/>
        <v>0</v>
      </c>
      <c r="T79" s="178">
        <f t="shared" si="41"/>
        <v>0</v>
      </c>
      <c r="U79" s="178">
        <f t="shared" si="42"/>
        <v>0</v>
      </c>
      <c r="V79" s="121">
        <f>IF(Auslosung_Turnierdaten!F20="","",12)</f>
      </c>
      <c r="W79" s="122">
        <f>IF(SP64!V79="","",Auslosung_Turnierdaten!F20)</f>
      </c>
      <c r="X79" s="122">
        <f>IF(SP64!V79="","",Auslosung_Turnierdaten!G20)</f>
      </c>
      <c r="Y79" s="122">
        <f>IF(SP64!V79="","",Auslosung_Turnierdaten!H20)</f>
      </c>
      <c r="Z79" s="122">
        <f>IF(SP64!V79="","",Auslosung_Turnierdaten!I20)</f>
      </c>
      <c r="AA79" s="123">
        <f>IF(SP64!V79="","",SP64!X14)</f>
      </c>
      <c r="AB79" s="123">
        <f>IF(SP64!V79="","",SP64!Z14)</f>
      </c>
      <c r="AC79" s="123">
        <f>IF(SP64!V79="","",SP64!AA14)</f>
      </c>
      <c r="AD79" s="123">
        <f>IF(SP64!V79="","",SP64!AC14)</f>
      </c>
      <c r="AE79" s="123">
        <f>IF(SP64!V79="","",IF($AE$67="VSp",SP64!AD14,SP64!AF14))</f>
      </c>
      <c r="AF79" s="124">
        <f>IF(SP64!V79="","",IF($AF$67="Quot",SP64!AE14,SP64!AG14))</f>
      </c>
      <c r="AG79" s="124">
        <f>IF($AG$67="BED",SP64!AH14,"")</f>
      </c>
      <c r="AH79" s="125">
        <f>IF($AH$67="HS",SP64!AI14,"")</f>
      </c>
      <c r="AM79" s="180"/>
      <c r="AN79" s="181"/>
      <c r="AO79" s="182"/>
      <c r="AP79" s="64">
        <f t="shared" si="43"/>
        <v>0</v>
      </c>
      <c r="AQ79" s="64">
        <f>IF(AND(COUNTIF(L79:L79:$L$129,L79)=1,F79+G79&gt;0),L79&amp;"-","")</f>
      </c>
      <c r="AR79" s="64">
        <f t="shared" si="44"/>
      </c>
      <c r="AS79" s="202"/>
      <c r="AT79" s="202"/>
      <c r="AU79" s="203">
        <f t="shared" si="45"/>
      </c>
    </row>
    <row r="80" spans="3:47" ht="10.5">
      <c r="C80" s="108">
        <v>78</v>
      </c>
      <c r="D80" s="116" t="str">
        <f>IF(D48="Verlierer 27","Sieger 46",IF(E48="Verlierer 28","Sieger 46",IF(D48=E48,"Freilos",IF(E48="Freilos",D48,IF(D48="Freilos",E48,IF(F48&gt;G48,D48,IF(G48&gt;F48,E48,"Sieger 46")))))))</f>
        <v>Sieger 46</v>
      </c>
      <c r="E80" s="94" t="str">
        <f>IF(D53="Sieger 5","Verlierer 51",IF(E53="Sieger 6","Verlierer 51",IF(D53=E53,"Freilos",IF(E53="Freilos",E53,IF(D53="Freilos",D53,IF(F53&gt;G53,E53,IF(G53&gt;F53,D53,"Verlierer 51")))))))</f>
        <v>Verlierer 51</v>
      </c>
      <c r="F80" s="79"/>
      <c r="G80" s="80"/>
      <c r="H80" s="95"/>
      <c r="I80" s="95"/>
      <c r="J80" s="95"/>
      <c r="K80" s="96"/>
      <c r="L80" s="217"/>
      <c r="M80" s="92">
        <f t="shared" si="35"/>
      </c>
      <c r="N80" s="64">
        <f t="shared" si="36"/>
        <v>0</v>
      </c>
      <c r="O80" s="64">
        <f t="shared" si="37"/>
        <v>0</v>
      </c>
      <c r="P80" s="64">
        <f t="shared" si="38"/>
        <v>0</v>
      </c>
      <c r="Q80" s="64">
        <f t="shared" si="46"/>
        <v>0</v>
      </c>
      <c r="R80" s="64">
        <f t="shared" si="39"/>
        <v>0</v>
      </c>
      <c r="S80" s="64">
        <f t="shared" si="40"/>
        <v>0</v>
      </c>
      <c r="T80" s="178">
        <f t="shared" si="41"/>
        <v>0</v>
      </c>
      <c r="U80" s="178">
        <f t="shared" si="42"/>
        <v>0</v>
      </c>
      <c r="V80" s="121">
        <f>IF(Auslosung_Turnierdaten!F21="","",13)</f>
      </c>
      <c r="W80" s="122">
        <f>IF(SP64!V80="","",Auslosung_Turnierdaten!F21)</f>
      </c>
      <c r="X80" s="122">
        <f>IF(SP64!V80="","",Auslosung_Turnierdaten!G21)</f>
      </c>
      <c r="Y80" s="122">
        <f>IF(SP64!V80="","",Auslosung_Turnierdaten!H21)</f>
      </c>
      <c r="Z80" s="122">
        <f>IF(SP64!V80="","",Auslosung_Turnierdaten!I21)</f>
      </c>
      <c r="AA80" s="123">
        <f>IF(SP64!V80="","",SP64!X15)</f>
      </c>
      <c r="AB80" s="123">
        <f>IF(SP64!V80="","",SP64!Z15)</f>
      </c>
      <c r="AC80" s="123">
        <f>IF(SP64!V80="","",SP64!AA15)</f>
      </c>
      <c r="AD80" s="123">
        <f>IF(SP64!V80="","",SP64!AC15)</f>
      </c>
      <c r="AE80" s="123">
        <f>IF(SP64!V80="","",IF($AE$67="VSp",SP64!AD15,SP64!AF15))</f>
      </c>
      <c r="AF80" s="124">
        <f>IF(SP64!V80="","",IF($AF$67="Quot",SP64!AE15,SP64!AG15))</f>
      </c>
      <c r="AG80" s="124">
        <f>IF($AG$67="BED",SP64!AH15,"")</f>
      </c>
      <c r="AH80" s="125">
        <f>IF($AH$67="HS",SP64!AI15,"")</f>
      </c>
      <c r="AM80" s="180"/>
      <c r="AN80" s="181"/>
      <c r="AO80" s="182"/>
      <c r="AP80" s="64">
        <f t="shared" si="43"/>
        <v>0</v>
      </c>
      <c r="AQ80" s="64">
        <f>IF(AND(COUNTIF(L80:L80:$L$129,L80)=1,F80+G80&gt;0),L80&amp;"-","")</f>
      </c>
      <c r="AR80" s="64">
        <f t="shared" si="44"/>
      </c>
      <c r="AS80" s="202"/>
      <c r="AT80" s="202"/>
      <c r="AU80" s="203">
        <f t="shared" si="45"/>
      </c>
    </row>
    <row r="81" spans="3:47" ht="10.5">
      <c r="C81" s="108">
        <v>79</v>
      </c>
      <c r="D81" s="116" t="str">
        <f>IF(D49="Verlierer 29","Sieger 47",IF(E49="Verlierer 30","Sieger 47",IF(D49=E49,"Freilos",IF(E49="Freilos",D49,IF(D49="Freilos",E49,IF(F49&gt;G49,D49,IF(G49&gt;F49,E49,"Sieger 47")))))))</f>
        <v>Sieger 47</v>
      </c>
      <c r="E81" s="94" t="str">
        <f>IF(D52="Sieger 3","Verlierer 50",IF(E52="Sieger 4","Verlierer 50",IF(D52=E52,"Freilos",IF(E52="Freilos",E52,IF(D52="Freilos",D52,IF(F52&gt;G52,E52,IF(G52&gt;F52,D52,"Verlierer 50")))))))</f>
        <v>Verlierer 50</v>
      </c>
      <c r="F81" s="79"/>
      <c r="G81" s="80"/>
      <c r="H81" s="95"/>
      <c r="I81" s="95"/>
      <c r="J81" s="95"/>
      <c r="K81" s="96"/>
      <c r="L81" s="217"/>
      <c r="M81" s="92">
        <f t="shared" si="35"/>
      </c>
      <c r="N81" s="64">
        <f t="shared" si="36"/>
        <v>0</v>
      </c>
      <c r="O81" s="64">
        <f t="shared" si="37"/>
        <v>0</v>
      </c>
      <c r="P81" s="64">
        <f t="shared" si="38"/>
        <v>0</v>
      </c>
      <c r="Q81" s="64">
        <f t="shared" si="46"/>
        <v>0</v>
      </c>
      <c r="R81" s="64">
        <f t="shared" si="39"/>
        <v>0</v>
      </c>
      <c r="S81" s="64">
        <f t="shared" si="40"/>
        <v>0</v>
      </c>
      <c r="T81" s="178">
        <f t="shared" si="41"/>
        <v>0</v>
      </c>
      <c r="U81" s="178">
        <f t="shared" si="42"/>
        <v>0</v>
      </c>
      <c r="V81" s="121">
        <f>IF(Auslosung_Turnierdaten!F22="","",14)</f>
      </c>
      <c r="W81" s="122">
        <f>IF(SP64!V81="","",Auslosung_Turnierdaten!F22)</f>
      </c>
      <c r="X81" s="122">
        <f>IF(SP64!V81="","",Auslosung_Turnierdaten!G22)</f>
      </c>
      <c r="Y81" s="122">
        <f>IF(SP64!V81="","",Auslosung_Turnierdaten!H22)</f>
      </c>
      <c r="Z81" s="122">
        <f>IF(SP64!V81="","",Auslosung_Turnierdaten!I22)</f>
      </c>
      <c r="AA81" s="123">
        <f>IF(SP64!V81="","",SP64!X16)</f>
      </c>
      <c r="AB81" s="123">
        <f>IF(SP64!V81="","",SP64!Z16)</f>
      </c>
      <c r="AC81" s="123">
        <f>IF(SP64!V81="","",SP64!AA16)</f>
      </c>
      <c r="AD81" s="123">
        <f>IF(SP64!V81="","",SP64!AC16)</f>
      </c>
      <c r="AE81" s="123">
        <f>IF(SP64!V81="","",IF($AE$67="VSp",SP64!AD16,SP64!AF16))</f>
      </c>
      <c r="AF81" s="124">
        <f>IF(SP64!V81="","",IF($AF$67="Quot",SP64!AE16,SP64!AG16))</f>
      </c>
      <c r="AG81" s="124">
        <f>IF($AG$67="BED",SP64!AH16,"")</f>
      </c>
      <c r="AH81" s="125">
        <f>IF($AH$67="HS",SP64!AI16,"")</f>
      </c>
      <c r="AM81" s="180"/>
      <c r="AN81" s="181"/>
      <c r="AO81" s="182"/>
      <c r="AP81" s="64">
        <f t="shared" si="43"/>
        <v>0</v>
      </c>
      <c r="AQ81" s="64">
        <f>IF(AND(COUNTIF(L81:L81:$L$129,L81)=1,F81+G81&gt;0),L81&amp;"-","")</f>
      </c>
      <c r="AR81" s="64">
        <f t="shared" si="44"/>
      </c>
      <c r="AS81" s="202"/>
      <c r="AT81" s="202"/>
      <c r="AU81" s="203">
        <f t="shared" si="45"/>
      </c>
    </row>
    <row r="82" spans="3:47" ht="11.25" thickBot="1">
      <c r="C82" s="108">
        <v>80</v>
      </c>
      <c r="D82" s="126" t="str">
        <f>IF(D50="Verlierer 31","Sieger 48",IF(E50="Verlierer 32","Sieger 48",IF(D50=E50,"Freilos",IF(E50="Freilos",D50,IF(D50="Freilos",E50,IF(F50&gt;G50,D50,IF(G50&gt;F50,E50,"Sieger 48")))))))</f>
        <v>Sieger 48</v>
      </c>
      <c r="E82" s="98" t="str">
        <f>IF(D51="Sieger 1","Verlierer 49",IF(E51="Sieger 2","Verlierer 49",IF(D51=E51,"Freilos",IF(E51="Freilos",E51,IF(D51="Freilos",D51,IF(F51&gt;G51,E51,IF(G51&gt;F51,D51,"Verlierer 49")))))))</f>
        <v>Verlierer 49</v>
      </c>
      <c r="F82" s="79"/>
      <c r="G82" s="80"/>
      <c r="H82" s="99"/>
      <c r="I82" s="99"/>
      <c r="J82" s="99"/>
      <c r="K82" s="100"/>
      <c r="L82" s="217"/>
      <c r="M82" s="92">
        <f t="shared" si="35"/>
      </c>
      <c r="N82" s="64">
        <f t="shared" si="36"/>
        <v>0</v>
      </c>
      <c r="O82" s="64">
        <f t="shared" si="37"/>
        <v>0</v>
      </c>
      <c r="P82" s="64">
        <f t="shared" si="38"/>
        <v>0</v>
      </c>
      <c r="Q82" s="64">
        <f t="shared" si="46"/>
        <v>0</v>
      </c>
      <c r="R82" s="64">
        <f t="shared" si="39"/>
        <v>0</v>
      </c>
      <c r="S82" s="64">
        <f t="shared" si="40"/>
        <v>0</v>
      </c>
      <c r="T82" s="178">
        <f t="shared" si="41"/>
        <v>0</v>
      </c>
      <c r="U82" s="178">
        <f t="shared" si="42"/>
        <v>0</v>
      </c>
      <c r="V82" s="121">
        <f>IF(Auslosung_Turnierdaten!F23="","",15)</f>
      </c>
      <c r="W82" s="122">
        <f>IF(SP64!V82="","",Auslosung_Turnierdaten!F23)</f>
      </c>
      <c r="X82" s="122">
        <f>IF(SP64!V82="","",Auslosung_Turnierdaten!G23)</f>
      </c>
      <c r="Y82" s="122">
        <f>IF(SP64!V82="","",Auslosung_Turnierdaten!H23)</f>
      </c>
      <c r="Z82" s="122">
        <f>IF(SP64!V82="","",Auslosung_Turnierdaten!I23)</f>
      </c>
      <c r="AA82" s="123">
        <f>IF(SP64!V82="","",SP64!X17)</f>
      </c>
      <c r="AB82" s="123">
        <f>IF(SP64!V82="","",SP64!Z17)</f>
      </c>
      <c r="AC82" s="123">
        <f>IF(SP64!V82="","",SP64!AA17)</f>
      </c>
      <c r="AD82" s="123">
        <f>IF(SP64!V82="","",SP64!AC17)</f>
      </c>
      <c r="AE82" s="123">
        <f>IF(SP64!V82="","",IF($AE$67="VSp",SP64!AD17,SP64!AF17))</f>
      </c>
      <c r="AF82" s="124">
        <f>IF(SP64!V82="","",IF($AF$67="Quot",SP64!AE17,SP64!AG17))</f>
      </c>
      <c r="AG82" s="124">
        <f>IF($AG$67="BED",SP64!AH17,"")</f>
      </c>
      <c r="AH82" s="125">
        <f>IF($AH$67="HS",SP64!AI17,"")</f>
      </c>
      <c r="AM82" s="180"/>
      <c r="AN82" s="181"/>
      <c r="AO82" s="182"/>
      <c r="AP82" s="64">
        <f t="shared" si="43"/>
        <v>0</v>
      </c>
      <c r="AQ82" s="64">
        <f>IF(AND(COUNTIF(L82:L82:$L$129,L82)=1,F82+G82&gt;0),L82&amp;"-","")</f>
      </c>
      <c r="AR82" s="64">
        <f t="shared" si="44"/>
      </c>
      <c r="AS82" s="202"/>
      <c r="AT82" s="202"/>
      <c r="AU82" s="203">
        <f t="shared" si="45"/>
      </c>
    </row>
    <row r="83" spans="2:47" ht="11.25" thickBot="1">
      <c r="B83" s="87" t="s">
        <v>1065</v>
      </c>
      <c r="C83" s="108">
        <v>81</v>
      </c>
      <c r="D83" s="127" t="str">
        <f>IF(D67="Sieger 33","Sieger 65",IF(E67="Verlierer 64","Sieger 65",IF(D67=E67,"Freilos",IF(E67="Freilos",D67,IF(D67="Freilos",E67,IF(F67&gt;G67,D67,IF(G67&gt;F67,E67,"Sieger 65")))))))</f>
        <v>Sieger 65</v>
      </c>
      <c r="E83" s="128" t="str">
        <f>IF(D68="Sieger 34","Sieger 66",IF(E68="Verlierer 63","Sieger 66",IF(D68=E68,"Freilos",IF(E68="Freilos",D68,IF(D68="Freilos",E68,IF(F68&gt;G68,D68,IF(G68&gt;F68,E68,"Sieger 66")))))))</f>
        <v>Sieger 66</v>
      </c>
      <c r="F83" s="79"/>
      <c r="G83" s="80"/>
      <c r="H83" s="90"/>
      <c r="I83" s="90"/>
      <c r="J83" s="90"/>
      <c r="K83" s="91"/>
      <c r="L83" s="217"/>
      <c r="M83" s="92">
        <f>IF(F83&gt;G83,E83,IF(G83&gt;F83,D83,""))</f>
      </c>
      <c r="N83" s="64">
        <f t="shared" si="36"/>
        <v>0</v>
      </c>
      <c r="O83" s="64">
        <f t="shared" si="37"/>
        <v>0</v>
      </c>
      <c r="P83" s="64">
        <f t="shared" si="38"/>
        <v>0</v>
      </c>
      <c r="Q83" s="64">
        <f t="shared" si="46"/>
        <v>0</v>
      </c>
      <c r="R83" s="64">
        <f t="shared" si="39"/>
        <v>0</v>
      </c>
      <c r="S83" s="64">
        <f t="shared" si="40"/>
        <v>0</v>
      </c>
      <c r="T83" s="178">
        <f t="shared" si="41"/>
        <v>0</v>
      </c>
      <c r="U83" s="178">
        <f t="shared" si="42"/>
        <v>0</v>
      </c>
      <c r="V83" s="121">
        <f>IF(Auslosung_Turnierdaten!F24="","",16)</f>
      </c>
      <c r="W83" s="122">
        <f>IF(SP64!V83="","",Auslosung_Turnierdaten!F24)</f>
      </c>
      <c r="X83" s="122">
        <f>IF(SP64!V83="","",Auslosung_Turnierdaten!G24)</f>
      </c>
      <c r="Y83" s="122">
        <f>IF(SP64!V83="","",Auslosung_Turnierdaten!H24)</f>
      </c>
      <c r="Z83" s="122">
        <f>IF(SP64!V83="","",Auslosung_Turnierdaten!I24)</f>
      </c>
      <c r="AA83" s="123">
        <f>IF(SP64!V83="","",SP64!X18)</f>
      </c>
      <c r="AB83" s="123">
        <f>IF(SP64!V83="","",SP64!Z18)</f>
      </c>
      <c r="AC83" s="123">
        <f>IF(SP64!V83="","",SP64!AA18)</f>
      </c>
      <c r="AD83" s="123">
        <f>IF(SP64!V83="","",SP64!AC18)</f>
      </c>
      <c r="AE83" s="123">
        <f>IF(SP64!V83="","",IF($AE$67="VSp",SP64!AD18,SP64!AF18))</f>
      </c>
      <c r="AF83" s="124">
        <f>IF(SP64!V83="","",IF($AF$67="Quot",SP64!AE18,SP64!AG18))</f>
      </c>
      <c r="AG83" s="124">
        <f>IF($AG$67="BED",SP64!AH18,"")</f>
      </c>
      <c r="AH83" s="125">
        <f>IF($AH$67="HS",SP64!AI18,"")</f>
      </c>
      <c r="AM83" s="180"/>
      <c r="AN83" s="181"/>
      <c r="AO83" s="182"/>
      <c r="AP83" s="64">
        <f t="shared" si="43"/>
        <v>0</v>
      </c>
      <c r="AQ83" s="64">
        <f>IF(AND(COUNTIF(L83:L83:$L$129,L83)=1,F83+G83&gt;0),L83&amp;"-","")</f>
      </c>
      <c r="AR83" s="64">
        <f t="shared" si="44"/>
      </c>
      <c r="AS83" s="202"/>
      <c r="AT83" s="202"/>
      <c r="AU83" s="203">
        <f t="shared" si="45"/>
      </c>
    </row>
    <row r="84" spans="3:47" ht="10.5">
      <c r="C84" s="108">
        <v>82</v>
      </c>
      <c r="D84" s="127" t="str">
        <f>IF(D69="Sieger 35","Sieger 67",IF(E69="Verlierer 62","Sieger 67",IF(D69=E69,"Freilos",IF(E69="Freilos",D69,IF(D69="Freilos",E69,IF(F69&gt;G69,D69,IF(G69&gt;F69,E69,"Sieger 67")))))))</f>
        <v>Sieger 67</v>
      </c>
      <c r="E84" s="128" t="str">
        <f>IF(D70="Sieger 36","Sieger 68",IF(E70="Verlierer 61","Sieger 68",IF(D70=E70,"Freilos",IF(E70="Freilos",D70,IF(D70="Freilos",E70,IF(F70&gt;G70,D70,IF(G70&gt;F70,E70,"Sieger 68")))))))</f>
        <v>Sieger 68</v>
      </c>
      <c r="F84" s="79"/>
      <c r="G84" s="80"/>
      <c r="H84" s="95"/>
      <c r="I84" s="95"/>
      <c r="J84" s="95"/>
      <c r="K84" s="96"/>
      <c r="L84" s="217"/>
      <c r="M84" s="92">
        <f aca="true" t="shared" si="47" ref="M84:M90">IF(F84&gt;G84,E84,IF(G84&gt;F84,D84,""))</f>
      </c>
      <c r="N84" s="64">
        <f t="shared" si="36"/>
        <v>0</v>
      </c>
      <c r="O84" s="64">
        <f t="shared" si="37"/>
        <v>0</v>
      </c>
      <c r="P84" s="64">
        <f t="shared" si="38"/>
        <v>0</v>
      </c>
      <c r="Q84" s="64">
        <f t="shared" si="46"/>
        <v>0</v>
      </c>
      <c r="R84" s="64">
        <f t="shared" si="39"/>
        <v>0</v>
      </c>
      <c r="S84" s="64">
        <f t="shared" si="40"/>
        <v>0</v>
      </c>
      <c r="T84" s="178">
        <f t="shared" si="41"/>
        <v>0</v>
      </c>
      <c r="U84" s="178">
        <f t="shared" si="42"/>
        <v>0</v>
      </c>
      <c r="V84" s="121">
        <f>IF(Auslosung_Turnierdaten!F25="","",17)</f>
      </c>
      <c r="W84" s="122">
        <f>IF(SP64!V84="","",Auslosung_Turnierdaten!F25)</f>
      </c>
      <c r="X84" s="122">
        <f>IF(SP64!V84="","",Auslosung_Turnierdaten!G25)</f>
      </c>
      <c r="Y84" s="122">
        <f>IF(SP64!V84="","",Auslosung_Turnierdaten!H25)</f>
      </c>
      <c r="Z84" s="122">
        <f>IF(SP64!V84="","",Auslosung_Turnierdaten!I25)</f>
      </c>
      <c r="AA84" s="123">
        <f>IF(SP64!V84="","",SP64!X19)</f>
      </c>
      <c r="AB84" s="123">
        <f>IF(SP64!V84="","",SP64!Z19)</f>
      </c>
      <c r="AC84" s="123">
        <f>IF(SP64!V84="","",SP64!AA19)</f>
      </c>
      <c r="AD84" s="123">
        <f>IF(SP64!V84="","",SP64!AC19)</f>
      </c>
      <c r="AE84" s="123">
        <f>IF(SP64!V84="","",IF($AE$67="VSp",SP64!AD19,SP64!AF19))</f>
      </c>
      <c r="AF84" s="124">
        <f>IF(SP64!V84="","",IF($AF$67="Quot",SP64!AE19,SP64!AG19))</f>
      </c>
      <c r="AG84" s="124">
        <f>IF($AG$67="BED",SP64!AH19,"")</f>
      </c>
      <c r="AH84" s="125">
        <f>IF($AH$67="HS",SP64!AI19,"")</f>
      </c>
      <c r="AM84" s="180"/>
      <c r="AN84" s="181"/>
      <c r="AO84" s="182"/>
      <c r="AP84" s="64">
        <f t="shared" si="43"/>
        <v>0</v>
      </c>
      <c r="AQ84" s="64">
        <f>IF(AND(COUNTIF(L84:L84:$L$129,L84)=1,F84+G84&gt;0),L84&amp;"-","")</f>
      </c>
      <c r="AR84" s="64">
        <f t="shared" si="44"/>
      </c>
      <c r="AS84" s="202"/>
      <c r="AT84" s="202"/>
      <c r="AU84" s="203">
        <f t="shared" si="45"/>
      </c>
    </row>
    <row r="85" spans="3:47" ht="10.5">
      <c r="C85" s="108">
        <v>83</v>
      </c>
      <c r="D85" s="127" t="str">
        <f>IF(D71="Sieger 37","Sieger 69",IF(E71="Verlierer 60","Sieger 69",IF(D71=E71,"Freilos",IF(E71="Freilos",D71,IF(D71="Freilos",E71,IF(F71&gt;G71,D71,IF(G71&gt;F71,E71,"Sieger 69")))))))</f>
        <v>Sieger 69</v>
      </c>
      <c r="E85" s="128" t="str">
        <f>IF(D72="Sieger 38","Sieger 70",IF(E72="Verlierer 59","Sieger 70",IF(D72=E72,"Freilos",IF(E72="Freilos",D72,IF(D72="Freilos",E72,IF(F72&gt;G72,D72,IF(G72&gt;F72,E72,"Sieger 70")))))))</f>
        <v>Sieger 70</v>
      </c>
      <c r="F85" s="79"/>
      <c r="G85" s="80"/>
      <c r="H85" s="95"/>
      <c r="I85" s="95"/>
      <c r="J85" s="95"/>
      <c r="K85" s="96"/>
      <c r="L85" s="217"/>
      <c r="M85" s="92">
        <f t="shared" si="47"/>
      </c>
      <c r="N85" s="64">
        <f t="shared" si="36"/>
        <v>0</v>
      </c>
      <c r="O85" s="64">
        <f t="shared" si="37"/>
        <v>0</v>
      </c>
      <c r="P85" s="64">
        <f t="shared" si="38"/>
        <v>0</v>
      </c>
      <c r="Q85" s="64">
        <f t="shared" si="46"/>
        <v>0</v>
      </c>
      <c r="R85" s="64">
        <f t="shared" si="39"/>
        <v>0</v>
      </c>
      <c r="S85" s="64">
        <f t="shared" si="40"/>
        <v>0</v>
      </c>
      <c r="T85" s="178">
        <f t="shared" si="41"/>
        <v>0</v>
      </c>
      <c r="U85" s="178">
        <f t="shared" si="42"/>
        <v>0</v>
      </c>
      <c r="V85" s="121">
        <f>IF(Auslosung_Turnierdaten!F26="","",18)</f>
      </c>
      <c r="W85" s="122">
        <f>IF(SP64!V85="","",Auslosung_Turnierdaten!F26)</f>
      </c>
      <c r="X85" s="122">
        <f>IF(SP64!V85="","",Auslosung_Turnierdaten!G26)</f>
      </c>
      <c r="Y85" s="122">
        <f>IF(SP64!V85="","",Auslosung_Turnierdaten!H26)</f>
      </c>
      <c r="Z85" s="122">
        <f>IF(SP64!V85="","",Auslosung_Turnierdaten!I26)</f>
      </c>
      <c r="AA85" s="123">
        <f>IF(SP64!V85="","",SP64!X20)</f>
      </c>
      <c r="AB85" s="123">
        <f>IF(SP64!V85="","",SP64!Z20)</f>
      </c>
      <c r="AC85" s="123">
        <f>IF(SP64!V85="","",SP64!AA20)</f>
      </c>
      <c r="AD85" s="123">
        <f>IF(SP64!V85="","",SP64!AC20)</f>
      </c>
      <c r="AE85" s="123">
        <f>IF(SP64!V85="","",IF($AE$67="VSp",SP64!AD20,SP64!AF20))</f>
      </c>
      <c r="AF85" s="124">
        <f>IF(SP64!V85="","",IF($AF$67="Quot",SP64!AE20,SP64!AG20))</f>
      </c>
      <c r="AG85" s="124">
        <f>IF($AG$67="BED",SP64!AH20,"")</f>
      </c>
      <c r="AH85" s="125">
        <f>IF($AH$67="HS",SP64!AI20,"")</f>
      </c>
      <c r="AM85" s="180"/>
      <c r="AN85" s="181"/>
      <c r="AO85" s="182"/>
      <c r="AP85" s="64">
        <f t="shared" si="43"/>
        <v>0</v>
      </c>
      <c r="AQ85" s="64">
        <f>IF(AND(COUNTIF(L85:L85:$L$129,L85)=1,F85+G85&gt;0),L85&amp;"-","")</f>
      </c>
      <c r="AR85" s="64">
        <f t="shared" si="44"/>
      </c>
      <c r="AS85" s="202"/>
      <c r="AT85" s="202"/>
      <c r="AU85" s="203">
        <f t="shared" si="45"/>
      </c>
    </row>
    <row r="86" spans="3:47" ht="10.5">
      <c r="C86" s="108">
        <v>84</v>
      </c>
      <c r="D86" s="127" t="str">
        <f>IF(D73="Sieger 39","Sieger 71",IF(E73="Verlierer 58","Sieger 71",IF(D73=E73,"Freilos",IF(E73="Freilos",D73,IF(D73="Freilos",E73,IF(F73&gt;G73,D73,IF(G73&gt;F73,E73,"Sieger 71")))))))</f>
        <v>Sieger 71</v>
      </c>
      <c r="E86" s="128" t="str">
        <f>IF(D74="Sieger 40","Sieger 72",IF(E74="Verlierer 57","Sieger 72",IF(D74=E74,"Freilos",IF(E74="Freilos",D74,IF(D74="Freilos",E74,IF(F74&gt;G74,D74,IF(G74&gt;F74,E74,"Sieger 72")))))))</f>
        <v>Sieger 72</v>
      </c>
      <c r="F86" s="79"/>
      <c r="G86" s="80"/>
      <c r="H86" s="95"/>
      <c r="I86" s="95"/>
      <c r="J86" s="95"/>
      <c r="K86" s="96"/>
      <c r="L86" s="217"/>
      <c r="M86" s="92">
        <f t="shared" si="47"/>
      </c>
      <c r="N86" s="64">
        <f t="shared" si="36"/>
        <v>0</v>
      </c>
      <c r="O86" s="64">
        <f t="shared" si="37"/>
        <v>0</v>
      </c>
      <c r="P86" s="64">
        <f t="shared" si="38"/>
        <v>0</v>
      </c>
      <c r="Q86" s="64">
        <f t="shared" si="46"/>
        <v>0</v>
      </c>
      <c r="R86" s="64">
        <f t="shared" si="39"/>
        <v>0</v>
      </c>
      <c r="S86" s="64">
        <f t="shared" si="40"/>
        <v>0</v>
      </c>
      <c r="T86" s="178">
        <f t="shared" si="41"/>
        <v>0</v>
      </c>
      <c r="U86" s="178">
        <f t="shared" si="42"/>
        <v>0</v>
      </c>
      <c r="V86" s="121">
        <f>IF(Auslosung_Turnierdaten!F27="","",19)</f>
      </c>
      <c r="W86" s="122">
        <f>IF(SP64!V86="","",Auslosung_Turnierdaten!F27)</f>
      </c>
      <c r="X86" s="122">
        <f>IF(SP64!V86="","",Auslosung_Turnierdaten!G27)</f>
      </c>
      <c r="Y86" s="122">
        <f>IF(SP64!V86="","",Auslosung_Turnierdaten!H27)</f>
      </c>
      <c r="Z86" s="122">
        <f>IF(SP64!V86="","",Auslosung_Turnierdaten!I27)</f>
      </c>
      <c r="AA86" s="123">
        <f>IF(SP64!V86="","",SP64!X21)</f>
      </c>
      <c r="AB86" s="123">
        <f>IF(SP64!V86="","",SP64!Z21)</f>
      </c>
      <c r="AC86" s="123">
        <f>IF(SP64!V86="","",SP64!AA21)</f>
      </c>
      <c r="AD86" s="123">
        <f>IF(SP64!V86="","",SP64!AC21)</f>
      </c>
      <c r="AE86" s="123">
        <f>IF(SP64!V86="","",IF($AE$67="VSp",SP64!AD21,SP64!AF21))</f>
      </c>
      <c r="AF86" s="124">
        <f>IF(SP64!V86="","",IF($AF$67="Quot",SP64!AE21,SP64!AG21))</f>
      </c>
      <c r="AG86" s="124">
        <f>IF($AG$67="BED",SP64!AH21,"")</f>
      </c>
      <c r="AH86" s="125">
        <f>IF($AH$67="HS",SP64!AI21,"")</f>
      </c>
      <c r="AM86" s="180"/>
      <c r="AN86" s="181"/>
      <c r="AO86" s="182"/>
      <c r="AP86" s="64">
        <f t="shared" si="43"/>
        <v>0</v>
      </c>
      <c r="AQ86" s="64">
        <f>IF(AND(COUNTIF(L86:L86:$L$129,L86)=1,F86+G86&gt;0),L86&amp;"-","")</f>
      </c>
      <c r="AR86" s="64">
        <f t="shared" si="44"/>
      </c>
      <c r="AS86" s="202"/>
      <c r="AT86" s="202"/>
      <c r="AU86" s="203">
        <f t="shared" si="45"/>
      </c>
    </row>
    <row r="87" spans="3:47" ht="10.5">
      <c r="C87" s="108">
        <v>85</v>
      </c>
      <c r="D87" s="127" t="str">
        <f>IF(D75="Sieger 41","Sieger 73",IF(E75="Verlierer 56","Sieger 73",IF(D75=E75,"Freilos",IF(E75="Freilos",D75,IF(D75="Freilos",E75,IF(F75&gt;G75,D75,IF(G75&gt;F75,E75,"Sieger 73")))))))</f>
        <v>Sieger 73</v>
      </c>
      <c r="E87" s="128" t="str">
        <f>IF(D76="Sieger 42","Sieger 74",IF(E76="Verlierer 55","Sieger 74",IF(D76=E76,"Freilos",IF(E76="Freilos",D76,IF(D76="Freilos",E76,IF(F76&gt;G76,D76,IF(G76&gt;F76,E76,"Sieger 74")))))))</f>
        <v>Sieger 74</v>
      </c>
      <c r="F87" s="79"/>
      <c r="G87" s="80"/>
      <c r="H87" s="95"/>
      <c r="I87" s="95"/>
      <c r="J87" s="95"/>
      <c r="K87" s="96"/>
      <c r="L87" s="217"/>
      <c r="M87" s="92">
        <f t="shared" si="47"/>
      </c>
      <c r="N87" s="64">
        <f t="shared" si="36"/>
        <v>0</v>
      </c>
      <c r="O87" s="64">
        <f t="shared" si="37"/>
        <v>0</v>
      </c>
      <c r="P87" s="64">
        <f t="shared" si="38"/>
        <v>0</v>
      </c>
      <c r="Q87" s="64">
        <f t="shared" si="46"/>
        <v>0</v>
      </c>
      <c r="R87" s="64">
        <f t="shared" si="39"/>
        <v>0</v>
      </c>
      <c r="S87" s="64">
        <f t="shared" si="40"/>
        <v>0</v>
      </c>
      <c r="T87" s="178">
        <f t="shared" si="41"/>
        <v>0</v>
      </c>
      <c r="U87" s="178">
        <f t="shared" si="42"/>
        <v>0</v>
      </c>
      <c r="V87" s="121">
        <f>IF(Auslosung_Turnierdaten!F28="","",20)</f>
      </c>
      <c r="W87" s="122">
        <f>IF(SP64!V87="","",Auslosung_Turnierdaten!F28)</f>
      </c>
      <c r="X87" s="122">
        <f>IF(SP64!V87="","",Auslosung_Turnierdaten!G28)</f>
      </c>
      <c r="Y87" s="122">
        <f>IF(SP64!V87="","",Auslosung_Turnierdaten!H28)</f>
      </c>
      <c r="Z87" s="122">
        <f>IF(SP64!V87="","",Auslosung_Turnierdaten!I28)</f>
      </c>
      <c r="AA87" s="123">
        <f>IF(SP64!V87="","",SP64!X22)</f>
      </c>
      <c r="AB87" s="123">
        <f>IF(SP64!V87="","",SP64!Z22)</f>
      </c>
      <c r="AC87" s="123">
        <f>IF(SP64!V87="","",SP64!AA22)</f>
      </c>
      <c r="AD87" s="123">
        <f>IF(SP64!V87="","",SP64!AC22)</f>
      </c>
      <c r="AE87" s="123">
        <f>IF(SP64!V87="","",IF($AE$67="VSp",SP64!AD22,SP64!AF22))</f>
      </c>
      <c r="AF87" s="124">
        <f>IF(SP64!V87="","",IF($AF$67="Quot",SP64!AE22,SP64!AG22))</f>
      </c>
      <c r="AG87" s="124">
        <f>IF($AG$67="BED",SP64!AH22,"")</f>
      </c>
      <c r="AH87" s="125">
        <f>IF($AH$67="HS",SP64!AI22,"")</f>
      </c>
      <c r="AM87" s="180"/>
      <c r="AN87" s="181"/>
      <c r="AO87" s="182"/>
      <c r="AP87" s="64">
        <f t="shared" si="43"/>
        <v>0</v>
      </c>
      <c r="AQ87" s="64">
        <f>IF(AND(COUNTIF(L87:L87:$L$129,L87)=1,F87+G87&gt;0),L87&amp;"-","")</f>
      </c>
      <c r="AR87" s="64">
        <f t="shared" si="44"/>
      </c>
      <c r="AS87" s="202"/>
      <c r="AT87" s="202"/>
      <c r="AU87" s="203">
        <f t="shared" si="45"/>
      </c>
    </row>
    <row r="88" spans="3:47" ht="10.5">
      <c r="C88" s="108">
        <v>86</v>
      </c>
      <c r="D88" s="127" t="str">
        <f>IF(D77="Sieger 43","Sieger 75",IF(E77="Verlierer 54","Sieger 75",IF(D77=E77,"Freilos",IF(E77="Freilos",D77,IF(D77="Freilos",E77,IF(F77&gt;G77,D77,IF(G77&gt;F77,E77,"Sieger 75")))))))</f>
        <v>Sieger 75</v>
      </c>
      <c r="E88" s="128" t="str">
        <f>IF(D78="Sieger 44","Sieger 76",IF(E78="Verlierer 53","Sieger 76",IF(D78=E78,"Freilos",IF(E78="Freilos",D78,IF(D78="Freilos",E78,IF(F78&gt;G78,D78,IF(G78&gt;F78,E78,"Sieger 76")))))))</f>
        <v>Sieger 76</v>
      </c>
      <c r="F88" s="79"/>
      <c r="G88" s="80"/>
      <c r="H88" s="95"/>
      <c r="I88" s="95"/>
      <c r="J88" s="95"/>
      <c r="K88" s="96"/>
      <c r="L88" s="217"/>
      <c r="M88" s="92">
        <f t="shared" si="47"/>
      </c>
      <c r="N88" s="64">
        <f t="shared" si="36"/>
        <v>0</v>
      </c>
      <c r="O88" s="64">
        <f t="shared" si="37"/>
        <v>0</v>
      </c>
      <c r="P88" s="64">
        <f t="shared" si="38"/>
        <v>0</v>
      </c>
      <c r="Q88" s="64">
        <f t="shared" si="46"/>
        <v>0</v>
      </c>
      <c r="R88" s="64">
        <f t="shared" si="39"/>
        <v>0</v>
      </c>
      <c r="S88" s="64">
        <f t="shared" si="40"/>
        <v>0</v>
      </c>
      <c r="T88" s="178">
        <f t="shared" si="41"/>
        <v>0</v>
      </c>
      <c r="U88" s="178">
        <f t="shared" si="42"/>
        <v>0</v>
      </c>
      <c r="V88" s="121">
        <f>IF(Auslosung_Turnierdaten!F29="","",21)</f>
      </c>
      <c r="W88" s="122">
        <f>IF(SP64!V88="","",Auslosung_Turnierdaten!F29)</f>
      </c>
      <c r="X88" s="122">
        <f>IF(SP64!V88="","",Auslosung_Turnierdaten!G29)</f>
      </c>
      <c r="Y88" s="122">
        <f>IF(SP64!V88="","",Auslosung_Turnierdaten!H29)</f>
      </c>
      <c r="Z88" s="122">
        <f>IF(SP64!V88="","",Auslosung_Turnierdaten!I29)</f>
      </c>
      <c r="AA88" s="123">
        <f>IF(SP64!V88="","",SP64!X23)</f>
      </c>
      <c r="AB88" s="123">
        <f>IF(SP64!V88="","",SP64!Z23)</f>
      </c>
      <c r="AC88" s="123">
        <f>IF(SP64!V88="","",SP64!AA23)</f>
      </c>
      <c r="AD88" s="123">
        <f>IF(SP64!V88="","",SP64!AC23)</f>
      </c>
      <c r="AE88" s="123">
        <f>IF(SP64!V88="","",IF($AE$67="VSp",SP64!AD23,SP64!AF23))</f>
      </c>
      <c r="AF88" s="124">
        <f>IF(SP64!V88="","",IF($AF$67="Quot",SP64!AE23,SP64!AG23))</f>
      </c>
      <c r="AG88" s="124">
        <f>IF($AG$67="BED",SP64!AH23,"")</f>
      </c>
      <c r="AH88" s="125">
        <f>IF($AH$67="HS",SP64!AI23,"")</f>
      </c>
      <c r="AM88" s="180"/>
      <c r="AN88" s="181"/>
      <c r="AO88" s="182"/>
      <c r="AP88" s="64">
        <f t="shared" si="43"/>
        <v>0</v>
      </c>
      <c r="AQ88" s="64">
        <f>IF(AND(COUNTIF(L88:L88:$L$129,L88)=1,F88+G88&gt;0),L88&amp;"-","")</f>
      </c>
      <c r="AR88" s="64">
        <f t="shared" si="44"/>
      </c>
      <c r="AS88" s="202"/>
      <c r="AT88" s="202"/>
      <c r="AU88" s="203">
        <f t="shared" si="45"/>
      </c>
    </row>
    <row r="89" spans="3:47" ht="10.5">
      <c r="C89" s="108">
        <v>87</v>
      </c>
      <c r="D89" s="127" t="str">
        <f>IF(D79="Sieger 45","Sieger 77",IF(E79="Verlierer 52","Sieger 77",IF(D79=E79,"Freilos",IF(E79="Freilos",D79,IF(D79="Freilos",E79,IF(F79&gt;G79,D79,IF(G79&gt;F79,E79,"Sieger 77")))))))</f>
        <v>Sieger 77</v>
      </c>
      <c r="E89" s="128" t="str">
        <f>IF(D80="Sieger 46","Sieger 78",IF(E80="Verlierer 51","Sieger 78",IF(D80=E80,"Freilos",IF(E80="Freilos",D80,IF(D80="Freilos",E80,IF(F80&gt;G80,D80,IF(G80&gt;F80,E80,"Sieger 78")))))))</f>
        <v>Sieger 78</v>
      </c>
      <c r="F89" s="79"/>
      <c r="G89" s="80"/>
      <c r="H89" s="95"/>
      <c r="I89" s="95"/>
      <c r="J89" s="95"/>
      <c r="K89" s="96"/>
      <c r="L89" s="217"/>
      <c r="M89" s="92">
        <f t="shared" si="47"/>
      </c>
      <c r="N89" s="64">
        <f t="shared" si="36"/>
        <v>0</v>
      </c>
      <c r="O89" s="64">
        <f t="shared" si="37"/>
        <v>0</v>
      </c>
      <c r="P89" s="64">
        <f t="shared" si="38"/>
        <v>0</v>
      </c>
      <c r="Q89" s="64">
        <f t="shared" si="46"/>
        <v>0</v>
      </c>
      <c r="R89" s="64">
        <f t="shared" si="39"/>
        <v>0</v>
      </c>
      <c r="S89" s="64">
        <f t="shared" si="40"/>
        <v>0</v>
      </c>
      <c r="T89" s="178">
        <f t="shared" si="41"/>
        <v>0</v>
      </c>
      <c r="U89" s="178">
        <f t="shared" si="42"/>
        <v>0</v>
      </c>
      <c r="V89" s="121">
        <f>IF(Auslosung_Turnierdaten!F30="","",22)</f>
      </c>
      <c r="W89" s="122">
        <f>IF(SP64!V89="","",Auslosung_Turnierdaten!F30)</f>
      </c>
      <c r="X89" s="122">
        <f>IF(SP64!V89="","",Auslosung_Turnierdaten!G30)</f>
      </c>
      <c r="Y89" s="122">
        <f>IF(SP64!V89="","",Auslosung_Turnierdaten!H30)</f>
      </c>
      <c r="Z89" s="122">
        <f>IF(SP64!V89="","",Auslosung_Turnierdaten!I30)</f>
      </c>
      <c r="AA89" s="123">
        <f>IF(SP64!V89="","",SP64!X24)</f>
      </c>
      <c r="AB89" s="123">
        <f>IF(SP64!V89="","",SP64!Z24)</f>
      </c>
      <c r="AC89" s="123">
        <f>IF(SP64!V89="","",SP64!AA24)</f>
      </c>
      <c r="AD89" s="123">
        <f>IF(SP64!V89="","",SP64!AC24)</f>
      </c>
      <c r="AE89" s="123">
        <f>IF(SP64!V89="","",IF($AE$67="VSp",SP64!AD24,SP64!AF24))</f>
      </c>
      <c r="AF89" s="124">
        <f>IF(SP64!V89="","",IF($AF$67="Quot",SP64!AE24,SP64!AG24))</f>
      </c>
      <c r="AG89" s="124">
        <f>IF($AG$67="BED",SP64!AH24,"")</f>
      </c>
      <c r="AH89" s="125">
        <f>IF($AH$67="HS",SP64!AI24,"")</f>
      </c>
      <c r="AM89" s="180"/>
      <c r="AN89" s="181"/>
      <c r="AO89" s="182"/>
      <c r="AP89" s="64">
        <f t="shared" si="43"/>
        <v>0</v>
      </c>
      <c r="AQ89" s="64">
        <f>IF(AND(COUNTIF(L89:L89:$L$129,L89)=1,F89+G89&gt;0),L89&amp;"-","")</f>
      </c>
      <c r="AR89" s="64">
        <f t="shared" si="44"/>
      </c>
      <c r="AS89" s="202"/>
      <c r="AT89" s="202"/>
      <c r="AU89" s="203">
        <f t="shared" si="45"/>
      </c>
    </row>
    <row r="90" spans="3:47" ht="11.25" thickBot="1">
      <c r="C90" s="108">
        <v>88</v>
      </c>
      <c r="D90" s="129" t="str">
        <f>IF(D81="Sieger 47","Sieger 79",IF(E81="Verlierer 50","Sieger 79",IF(D81=E81,"Freilos",IF(E81="Freilos",D81,IF(D81="Freilos",E81,IF(F81&gt;G81,D81,IF(G81&gt;F81,E81,"Sieger 79")))))))</f>
        <v>Sieger 79</v>
      </c>
      <c r="E90" s="130" t="str">
        <f>IF(D82="Sieger 48","Sieger 80",IF(E82="Verlierer 49","Sieger 80",IF(D82=E82,"Freilos",IF(E82="Freilos",D82,IF(D82="Freilos",E82,IF(F82&gt;G82,D82,IF(G82&gt;F82,E82,"Sieger 80")))))))</f>
        <v>Sieger 80</v>
      </c>
      <c r="F90" s="79"/>
      <c r="G90" s="80"/>
      <c r="H90" s="99"/>
      <c r="I90" s="99"/>
      <c r="J90" s="99"/>
      <c r="K90" s="100"/>
      <c r="L90" s="217"/>
      <c r="M90" s="92">
        <f t="shared" si="47"/>
      </c>
      <c r="N90" s="64">
        <f t="shared" si="36"/>
        <v>0</v>
      </c>
      <c r="O90" s="64">
        <f t="shared" si="37"/>
        <v>0</v>
      </c>
      <c r="P90" s="64">
        <f t="shared" si="38"/>
        <v>0</v>
      </c>
      <c r="Q90" s="64">
        <f t="shared" si="46"/>
        <v>0</v>
      </c>
      <c r="R90" s="64">
        <f t="shared" si="39"/>
        <v>0</v>
      </c>
      <c r="S90" s="64">
        <f t="shared" si="40"/>
        <v>0</v>
      </c>
      <c r="T90" s="178">
        <f t="shared" si="41"/>
        <v>0</v>
      </c>
      <c r="U90" s="178">
        <f t="shared" si="42"/>
        <v>0</v>
      </c>
      <c r="V90" s="121">
        <f>IF(Auslosung_Turnierdaten!F31="","",23)</f>
      </c>
      <c r="W90" s="122">
        <f>IF(SP64!V90="","",Auslosung_Turnierdaten!F31)</f>
      </c>
      <c r="X90" s="122">
        <f>IF(SP64!V90="","",Auslosung_Turnierdaten!G31)</f>
      </c>
      <c r="Y90" s="122">
        <f>IF(SP64!V90="","",Auslosung_Turnierdaten!H31)</f>
      </c>
      <c r="Z90" s="122">
        <f>IF(SP64!V90="","",Auslosung_Turnierdaten!I31)</f>
      </c>
      <c r="AA90" s="123">
        <f>IF(SP64!V90="","",SP64!X25)</f>
      </c>
      <c r="AB90" s="123">
        <f>IF(SP64!V90="","",SP64!Z25)</f>
      </c>
      <c r="AC90" s="123">
        <f>IF(SP64!V90="","",SP64!AA25)</f>
      </c>
      <c r="AD90" s="123">
        <f>IF(SP64!V90="","",SP64!AC25)</f>
      </c>
      <c r="AE90" s="123">
        <f>IF(SP64!V90="","",IF($AE$67="VSp",SP64!AD25,SP64!AF25))</f>
      </c>
      <c r="AF90" s="124">
        <f>IF(SP64!V90="","",IF($AF$67="Quot",SP64!AE25,SP64!AG25))</f>
      </c>
      <c r="AG90" s="124">
        <f>IF($AG$67="BED",SP64!AH25,"")</f>
      </c>
      <c r="AH90" s="125">
        <f>IF($AH$67="HS",SP64!AI25,"")</f>
      </c>
      <c r="AM90" s="180"/>
      <c r="AN90" s="181"/>
      <c r="AO90" s="182"/>
      <c r="AP90" s="64">
        <f t="shared" si="43"/>
        <v>0</v>
      </c>
      <c r="AQ90" s="64">
        <f>IF(AND(COUNTIF(L90:L90:$L$129,L90)=1,F90+G90&gt;0),L90&amp;"-","")</f>
      </c>
      <c r="AR90" s="64">
        <f t="shared" si="44"/>
      </c>
      <c r="AS90" s="202"/>
      <c r="AT90" s="202"/>
      <c r="AU90" s="203">
        <f t="shared" si="45"/>
      </c>
    </row>
    <row r="91" spans="2:47" ht="11.25" thickBot="1">
      <c r="B91" s="101" t="s">
        <v>1071</v>
      </c>
      <c r="C91" s="108">
        <v>89</v>
      </c>
      <c r="D91" s="131" t="str">
        <f>IF(D51="Sieger 1","Sieger 49",IF(E51="Sieger 2","Sieger 49",IF(D51=E51,"Freilos",IF(E51="Freilos",D51,IF(D51="Freilos",E51,IF(F51&gt;G51,D51,IF(G51&gt;F51,E51,"Sieger 49")))))))</f>
        <v>Sieger 49</v>
      </c>
      <c r="E91" s="132" t="str">
        <f>IF(D52="Sieger 3","Sieger 50",IF(E52="Sieger 4","Sieger 50",IF(D52=E52,"Freilos",IF(E52="Freilos",D52,IF(D52="Freilos",E52,IF(F52&gt;G52,D52,IF(G52&gt;F52,E52,"Sieger 50")))))))</f>
        <v>Sieger 50</v>
      </c>
      <c r="F91" s="79"/>
      <c r="G91" s="80"/>
      <c r="H91" s="102"/>
      <c r="I91" s="102"/>
      <c r="J91" s="102"/>
      <c r="K91" s="103"/>
      <c r="L91" s="217"/>
      <c r="N91" s="64">
        <f t="shared" si="36"/>
        <v>0</v>
      </c>
      <c r="O91" s="64">
        <f t="shared" si="37"/>
        <v>0</v>
      </c>
      <c r="P91" s="64">
        <f t="shared" si="38"/>
        <v>0</v>
      </c>
      <c r="Q91" s="64">
        <f t="shared" si="46"/>
        <v>0</v>
      </c>
      <c r="R91" s="64">
        <f t="shared" si="39"/>
        <v>0</v>
      </c>
      <c r="S91" s="64">
        <f t="shared" si="40"/>
        <v>0</v>
      </c>
      <c r="T91" s="178">
        <f>IF(E91="Freilos",6,IF(F91&gt;G91,6,0))</f>
        <v>0</v>
      </c>
      <c r="U91" s="178">
        <f>IF(D91="Freilos",6,IF(G91&gt;F91,6,0))</f>
        <v>0</v>
      </c>
      <c r="V91" s="121">
        <f>IF(Auslosung_Turnierdaten!F32="","",24)</f>
      </c>
      <c r="W91" s="122">
        <f>IF(SP64!V91="","",Auslosung_Turnierdaten!F32)</f>
      </c>
      <c r="X91" s="122">
        <f>IF(SP64!V91="","",Auslosung_Turnierdaten!G32)</f>
      </c>
      <c r="Y91" s="122">
        <f>IF(SP64!V91="","",Auslosung_Turnierdaten!H32)</f>
      </c>
      <c r="Z91" s="122">
        <f>IF(SP64!V91="","",Auslosung_Turnierdaten!I32)</f>
      </c>
      <c r="AA91" s="123">
        <f>IF(SP64!V91="","",SP64!X26)</f>
      </c>
      <c r="AB91" s="123">
        <f>IF(SP64!V91="","",SP64!Z26)</f>
      </c>
      <c r="AC91" s="123">
        <f>IF(SP64!V91="","",SP64!AA26)</f>
      </c>
      <c r="AD91" s="123">
        <f>IF(SP64!V91="","",SP64!AC26)</f>
      </c>
      <c r="AE91" s="123">
        <f>IF(SP64!V91="","",IF($AE$67="VSp",SP64!AD26,SP64!AF26))</f>
      </c>
      <c r="AF91" s="124">
        <f>IF(SP64!V91="","",IF($AF$67="Quot",SP64!AE26,SP64!AG26))</f>
      </c>
      <c r="AG91" s="124">
        <f>IF($AG$67="BED",SP64!AH26,"")</f>
      </c>
      <c r="AH91" s="125">
        <f>IF($AH$67="HS",SP64!AI26,"")</f>
      </c>
      <c r="AM91" s="180"/>
      <c r="AN91" s="181"/>
      <c r="AO91" s="182"/>
      <c r="AP91" s="64">
        <f t="shared" si="43"/>
        <v>0</v>
      </c>
      <c r="AQ91" s="64">
        <f>IF(AND(COUNTIF(L91:L91:$L$129,L91)=1,F91+G91&gt;0),L91&amp;"-","")</f>
      </c>
      <c r="AR91" s="64">
        <f t="shared" si="44"/>
      </c>
      <c r="AS91" s="202"/>
      <c r="AT91" s="202"/>
      <c r="AU91" s="203">
        <f t="shared" si="45"/>
      </c>
    </row>
    <row r="92" spans="3:47" ht="10.5">
      <c r="C92" s="108">
        <v>90</v>
      </c>
      <c r="D92" s="133" t="str">
        <f>IF(D53="Sieger 5","Sieger 51",IF(E53="Sieger 6","Sieger 51",IF(D53=E53,"Freilos",IF(E53="Freilos",D53,IF(D53="Freilos",E53,IF(F53&gt;G53,D53,IF(G53&gt;F53,E53,"Sieger 51")))))))</f>
        <v>Sieger 51</v>
      </c>
      <c r="E92" s="134" t="str">
        <f>IF(D54="Sieger 7","Sieger 52",IF(E54="Sieger 8","Sieger 52",IF(D54=E54,"Freilos",IF(E54="Freilos",D54,IF(D54="Freilos",E54,IF(F54&gt;G54,D54,IF(G54&gt;F54,E54,"Sieger 52")))))))</f>
        <v>Sieger 52</v>
      </c>
      <c r="F92" s="79"/>
      <c r="G92" s="80"/>
      <c r="H92" s="104"/>
      <c r="I92" s="104"/>
      <c r="J92" s="104"/>
      <c r="K92" s="105"/>
      <c r="L92" s="217"/>
      <c r="N92" s="64">
        <f t="shared" si="36"/>
        <v>0</v>
      </c>
      <c r="O92" s="64">
        <f t="shared" si="37"/>
        <v>0</v>
      </c>
      <c r="P92" s="64">
        <f t="shared" si="38"/>
        <v>0</v>
      </c>
      <c r="Q92" s="64">
        <f t="shared" si="46"/>
        <v>0</v>
      </c>
      <c r="R92" s="64">
        <f t="shared" si="39"/>
        <v>0</v>
      </c>
      <c r="S92" s="64">
        <f t="shared" si="40"/>
        <v>0</v>
      </c>
      <c r="T92" s="178">
        <f aca="true" t="shared" si="48" ref="T92:T98">IF(E92="Freilos",6,IF(F92&gt;G92,6,0))</f>
        <v>0</v>
      </c>
      <c r="U92" s="178">
        <f aca="true" t="shared" si="49" ref="U92:U98">IF(D92="Freilos",6,IF(G92&gt;F92,6,0))</f>
        <v>0</v>
      </c>
      <c r="V92" s="121">
        <f>IF(Auslosung_Turnierdaten!F33="","",25)</f>
      </c>
      <c r="W92" s="122">
        <f>IF(SP64!V92="","",Auslosung_Turnierdaten!F33)</f>
      </c>
      <c r="X92" s="122">
        <f>IF(SP64!V92="","",Auslosung_Turnierdaten!G33)</f>
      </c>
      <c r="Y92" s="122">
        <f>IF(SP64!V92="","",Auslosung_Turnierdaten!H33)</f>
      </c>
      <c r="Z92" s="122">
        <f>IF(SP64!V92="","",Auslosung_Turnierdaten!I33)</f>
      </c>
      <c r="AA92" s="123">
        <f>IF(SP64!V92="","",SP64!X27)</f>
      </c>
      <c r="AB92" s="123">
        <f>IF(SP64!V92="","",SP64!Z27)</f>
      </c>
      <c r="AC92" s="123">
        <f>IF(SP64!V92="","",SP64!AA27)</f>
      </c>
      <c r="AD92" s="123">
        <f>IF(SP64!V92="","",SP64!AC27)</f>
      </c>
      <c r="AE92" s="123">
        <f>IF(SP64!V92="","",IF($AE$67="VSp",SP64!AD27,SP64!AF27))</f>
      </c>
      <c r="AF92" s="124">
        <f>IF(SP64!V92="","",IF($AF$67="Quot",SP64!AE27,SP64!AG27))</f>
      </c>
      <c r="AG92" s="124">
        <f>IF($AG$67="BED",SP64!AH27,"")</f>
      </c>
      <c r="AH92" s="125">
        <f>IF($AH$67="HS",SP64!AI27,"")</f>
      </c>
      <c r="AM92" s="180"/>
      <c r="AN92" s="181"/>
      <c r="AO92" s="182"/>
      <c r="AP92" s="64">
        <f t="shared" si="43"/>
        <v>0</v>
      </c>
      <c r="AQ92" s="64">
        <f>IF(AND(COUNTIF(L92:L92:$L$129,L92)=1,F92+G92&gt;0),L92&amp;"-","")</f>
      </c>
      <c r="AR92" s="64">
        <f t="shared" si="44"/>
      </c>
      <c r="AS92" s="202"/>
      <c r="AT92" s="202"/>
      <c r="AU92" s="203">
        <f t="shared" si="45"/>
      </c>
    </row>
    <row r="93" spans="3:47" ht="10.5">
      <c r="C93" s="108">
        <v>91</v>
      </c>
      <c r="D93" s="133" t="str">
        <f>IF(D55="Sieger 9","Sieger 53",IF(E55="Sieger 10","Sieger 53",IF(D55=E55,"Freilos",IF(E55="Freilos",D55,IF(D55="Freilos",E55,IF(F55&gt;G55,D55,IF(G55&gt;F55,E55,"Sieger 53")))))))</f>
        <v>Sieger 53</v>
      </c>
      <c r="E93" s="134" t="str">
        <f>IF(D56="Sieger 11","Sieger 54",IF(E56="Sieger 12","Sieger 54",IF(D56=E56,"Freilos",IF(E56="Freilos",D56,IF(D56="Freilos",E56,IF(F56&gt;G56,D56,IF(G56&gt;F56,E56,"Sieger 54")))))))</f>
        <v>Sieger 54</v>
      </c>
      <c r="F93" s="79"/>
      <c r="G93" s="80"/>
      <c r="H93" s="104"/>
      <c r="I93" s="104"/>
      <c r="J93" s="104"/>
      <c r="K93" s="105"/>
      <c r="L93" s="217"/>
      <c r="M93" s="92"/>
      <c r="N93" s="64">
        <f t="shared" si="36"/>
        <v>0</v>
      </c>
      <c r="O93" s="64">
        <f t="shared" si="37"/>
        <v>0</v>
      </c>
      <c r="P93" s="64">
        <f t="shared" si="38"/>
        <v>0</v>
      </c>
      <c r="Q93" s="64">
        <f t="shared" si="46"/>
        <v>0</v>
      </c>
      <c r="R93" s="64">
        <f t="shared" si="39"/>
        <v>0</v>
      </c>
      <c r="S93" s="64">
        <f t="shared" si="40"/>
        <v>0</v>
      </c>
      <c r="T93" s="178">
        <f t="shared" si="48"/>
        <v>0</v>
      </c>
      <c r="U93" s="178">
        <f t="shared" si="49"/>
        <v>0</v>
      </c>
      <c r="V93" s="121">
        <f>IF(Auslosung_Turnierdaten!F34="","",26)</f>
      </c>
      <c r="W93" s="122">
        <f>IF(SP64!V93="","",Auslosung_Turnierdaten!F34)</f>
      </c>
      <c r="X93" s="122">
        <f>IF(SP64!V93="","",Auslosung_Turnierdaten!G34)</f>
      </c>
      <c r="Y93" s="122">
        <f>IF(SP64!V93="","",Auslosung_Turnierdaten!H34)</f>
      </c>
      <c r="Z93" s="122">
        <f>IF(SP64!V93="","",Auslosung_Turnierdaten!I34)</f>
      </c>
      <c r="AA93" s="123">
        <f>IF(SP64!V93="","",SP64!X28)</f>
      </c>
      <c r="AB93" s="123">
        <f>IF(SP64!V93="","",SP64!Z28)</f>
      </c>
      <c r="AC93" s="123">
        <f>IF(SP64!V93="","",SP64!AA28)</f>
      </c>
      <c r="AD93" s="123">
        <f>IF(SP64!V93="","",SP64!AC28)</f>
      </c>
      <c r="AE93" s="123">
        <f>IF(SP64!V93="","",IF($AE$67="VSp",SP64!AD28,SP64!AF28))</f>
      </c>
      <c r="AF93" s="124">
        <f>IF(SP64!V93="","",IF($AF$67="Quot",SP64!AE28,SP64!AG28))</f>
      </c>
      <c r="AG93" s="124">
        <f>IF($AG$67="BED",SP64!AH28,"")</f>
      </c>
      <c r="AH93" s="125">
        <f>IF($AH$67="HS",SP64!AI28,"")</f>
      </c>
      <c r="AM93" s="180"/>
      <c r="AN93" s="181"/>
      <c r="AO93" s="182"/>
      <c r="AP93" s="64">
        <f t="shared" si="43"/>
        <v>0</v>
      </c>
      <c r="AQ93" s="64">
        <f>IF(AND(COUNTIF(L93:L93:$L$129,L93)=1,F93+G93&gt;0),L93&amp;"-","")</f>
      </c>
      <c r="AR93" s="64">
        <f t="shared" si="44"/>
      </c>
      <c r="AS93" s="202"/>
      <c r="AT93" s="202"/>
      <c r="AU93" s="203">
        <f t="shared" si="45"/>
      </c>
    </row>
    <row r="94" spans="3:47" ht="10.5">
      <c r="C94" s="108">
        <v>92</v>
      </c>
      <c r="D94" s="133" t="str">
        <f>IF(D57="Sieger 13","Sieger 55",IF(E57="Sieger 14","Sieger 55",IF(D57=E57,"Freilos",IF(E57="Freilos",D57,IF(D57="Freilos",E57,IF(F57&gt;G57,D57,IF(G57&gt;F57,E57,"Sieger 55")))))))</f>
        <v>Sieger 55</v>
      </c>
      <c r="E94" s="134" t="str">
        <f>IF(D58="Sieger 15","Sieger 56",IF(E58="Sieger 16","Sieger 56",IF(D58=E58,"Freilos",IF(E58="Freilos",D58,IF(D58="Freilos",E58,IF(F58&gt;G58,D58,IF(G58&gt;F58,E58,"Sieger 56")))))))</f>
        <v>Sieger 56</v>
      </c>
      <c r="F94" s="79"/>
      <c r="G94" s="80"/>
      <c r="H94" s="104"/>
      <c r="I94" s="104"/>
      <c r="J94" s="104"/>
      <c r="K94" s="105"/>
      <c r="L94" s="217"/>
      <c r="M94" s="86"/>
      <c r="N94" s="64">
        <f t="shared" si="36"/>
        <v>0</v>
      </c>
      <c r="O94" s="64">
        <f t="shared" si="37"/>
        <v>0</v>
      </c>
      <c r="P94" s="64">
        <f t="shared" si="38"/>
        <v>0</v>
      </c>
      <c r="Q94" s="64">
        <f t="shared" si="46"/>
        <v>0</v>
      </c>
      <c r="R94" s="64">
        <f t="shared" si="39"/>
        <v>0</v>
      </c>
      <c r="S94" s="64">
        <f t="shared" si="40"/>
        <v>0</v>
      </c>
      <c r="T94" s="178">
        <f t="shared" si="48"/>
        <v>0</v>
      </c>
      <c r="U94" s="178">
        <f t="shared" si="49"/>
        <v>0</v>
      </c>
      <c r="V94" s="121">
        <f>IF(Auslosung_Turnierdaten!F35="","",27)</f>
      </c>
      <c r="W94" s="122">
        <f>IF(SP64!V94="","",Auslosung_Turnierdaten!F35)</f>
      </c>
      <c r="X94" s="122">
        <f>IF(SP64!V94="","",Auslosung_Turnierdaten!G35)</f>
      </c>
      <c r="Y94" s="122">
        <f>IF(SP64!V94="","",Auslosung_Turnierdaten!H35)</f>
      </c>
      <c r="Z94" s="122">
        <f>IF(SP64!V94="","",Auslosung_Turnierdaten!I35)</f>
      </c>
      <c r="AA94" s="123">
        <f>IF(SP64!V94="","",SP64!X29)</f>
      </c>
      <c r="AB94" s="123">
        <f>IF(SP64!V94="","",SP64!Z29)</f>
      </c>
      <c r="AC94" s="123">
        <f>IF(SP64!V94="","",SP64!AA29)</f>
      </c>
      <c r="AD94" s="123">
        <f>IF(SP64!V94="","",SP64!AC29)</f>
      </c>
      <c r="AE94" s="123">
        <f>IF(SP64!V94="","",IF($AE$67="VSp",SP64!AD29,SP64!AF29))</f>
      </c>
      <c r="AF94" s="124">
        <f>IF(SP64!V94="","",IF($AF$67="Quot",SP64!AE29,SP64!AG29))</f>
      </c>
      <c r="AG94" s="124">
        <f>IF($AG$67="BED",SP64!AH29,"")</f>
      </c>
      <c r="AH94" s="125">
        <f>IF($AH$67="HS",SP64!AI29,"")</f>
      </c>
      <c r="AM94" s="180"/>
      <c r="AN94" s="181"/>
      <c r="AO94" s="182"/>
      <c r="AP94" s="64">
        <f t="shared" si="43"/>
        <v>0</v>
      </c>
      <c r="AQ94" s="64">
        <f>IF(AND(COUNTIF(L94:L94:$L$129,L94)=1,F94+G94&gt;0),L94&amp;"-","")</f>
      </c>
      <c r="AR94" s="64">
        <f t="shared" si="44"/>
      </c>
      <c r="AS94" s="202"/>
      <c r="AT94" s="202"/>
      <c r="AU94" s="203">
        <f t="shared" si="45"/>
      </c>
    </row>
    <row r="95" spans="3:47" ht="10.5">
      <c r="C95" s="108">
        <v>93</v>
      </c>
      <c r="D95" s="133" t="str">
        <f>IF(D59="Sieger 17","Sieger 57",IF(E59="Sieger 18","Sieger 57",IF(D59=E59,"Freilos",IF(E59="Freilos",D59,IF(D59="Freilos",E59,IF(F59&gt;G59,D59,IF(G59&gt;F59,E59,"Sieger 57")))))))</f>
        <v>Sieger 57</v>
      </c>
      <c r="E95" s="134" t="str">
        <f>IF(D60="Sieger 19","Sieger 58",IF(E60="Sieger 20","Sieger 58",IF(D60=E60,"Freilos",IF(E60="Freilos",D60,IF(D60="Freilos",E60,IF(F60&gt;G60,D60,IF(G60&gt;F60,E60,"Sieger 58")))))))</f>
        <v>Sieger 58</v>
      </c>
      <c r="F95" s="79"/>
      <c r="G95" s="80"/>
      <c r="H95" s="104"/>
      <c r="I95" s="104"/>
      <c r="J95" s="104"/>
      <c r="K95" s="105"/>
      <c r="L95" s="217"/>
      <c r="M95" s="92"/>
      <c r="N95" s="64">
        <f t="shared" si="36"/>
        <v>0</v>
      </c>
      <c r="O95" s="64">
        <f t="shared" si="37"/>
        <v>0</v>
      </c>
      <c r="P95" s="64">
        <f t="shared" si="38"/>
        <v>0</v>
      </c>
      <c r="Q95" s="64">
        <f t="shared" si="46"/>
        <v>0</v>
      </c>
      <c r="R95" s="64">
        <f t="shared" si="39"/>
        <v>0</v>
      </c>
      <c r="S95" s="64">
        <f t="shared" si="40"/>
        <v>0</v>
      </c>
      <c r="T95" s="178">
        <f t="shared" si="48"/>
        <v>0</v>
      </c>
      <c r="U95" s="178">
        <f t="shared" si="49"/>
        <v>0</v>
      </c>
      <c r="V95" s="121">
        <f>IF(Auslosung_Turnierdaten!F36="","",28)</f>
      </c>
      <c r="W95" s="122">
        <f>IF(SP64!V95="","",Auslosung_Turnierdaten!F36)</f>
      </c>
      <c r="X95" s="122">
        <f>IF(SP64!V95="","",Auslosung_Turnierdaten!G36)</f>
      </c>
      <c r="Y95" s="122">
        <f>IF(SP64!V95="","",Auslosung_Turnierdaten!H36)</f>
      </c>
      <c r="Z95" s="122">
        <f>IF(SP64!V95="","",Auslosung_Turnierdaten!I36)</f>
      </c>
      <c r="AA95" s="123">
        <f>IF(SP64!V95="","",SP64!X30)</f>
      </c>
      <c r="AB95" s="123">
        <f>IF(SP64!V95="","",SP64!Z30)</f>
      </c>
      <c r="AC95" s="123">
        <f>IF(SP64!V95="","",SP64!AA30)</f>
      </c>
      <c r="AD95" s="123">
        <f>IF(SP64!V95="","",SP64!AC30)</f>
      </c>
      <c r="AE95" s="123">
        <f>IF(SP64!V95="","",IF($AE$67="VSp",SP64!AD30,SP64!AF30))</f>
      </c>
      <c r="AF95" s="124">
        <f>IF(SP64!V95="","",IF($AF$67="Quot",SP64!AE30,SP64!AG30))</f>
      </c>
      <c r="AG95" s="124">
        <f>IF($AG$67="BED",SP64!AH30,"")</f>
      </c>
      <c r="AH95" s="125">
        <f>IF($AH$67="HS",SP64!AI30,"")</f>
      </c>
      <c r="AM95" s="180"/>
      <c r="AN95" s="181"/>
      <c r="AO95" s="182"/>
      <c r="AP95" s="64">
        <f t="shared" si="43"/>
        <v>0</v>
      </c>
      <c r="AQ95" s="64">
        <f>IF(AND(COUNTIF(L95:L95:$L$129,L95)=1,F95+G95&gt;0),L95&amp;"-","")</f>
      </c>
      <c r="AR95" s="64">
        <f t="shared" si="44"/>
      </c>
      <c r="AS95" s="202"/>
      <c r="AT95" s="202"/>
      <c r="AU95" s="203">
        <f t="shared" si="45"/>
      </c>
    </row>
    <row r="96" spans="3:47" ht="10.5">
      <c r="C96" s="108">
        <v>94</v>
      </c>
      <c r="D96" s="133" t="str">
        <f>IF(D61="Sieger 21","Sieger 59",IF(E61="Sieger 22","Sieger 59",IF(D61=E61,"Freilos",IF(E61="Freilos",D61,IF(D61="Freilos",E61,IF(F61&gt;G61,D61,IF(G61&gt;F61,E61,"Sieger 59")))))))</f>
        <v>Sieger 59</v>
      </c>
      <c r="E96" s="134" t="str">
        <f>IF(D62="Sieger 23","Sieger 60",IF(E62="Sieger 24","Sieger 60",IF(D62=E62,"Freilos",IF(E62="Freilos",D62,IF(D62="Freilos",E62,IF(F62&gt;G62,D62,IF(G62&gt;F62,E62,"Sieger 60")))))))</f>
        <v>Sieger 60</v>
      </c>
      <c r="F96" s="79"/>
      <c r="G96" s="80"/>
      <c r="H96" s="104"/>
      <c r="I96" s="104"/>
      <c r="J96" s="104"/>
      <c r="K96" s="105"/>
      <c r="L96" s="217"/>
      <c r="N96" s="64">
        <f t="shared" si="36"/>
        <v>0</v>
      </c>
      <c r="O96" s="64">
        <f t="shared" si="37"/>
        <v>0</v>
      </c>
      <c r="P96" s="64">
        <f t="shared" si="38"/>
        <v>0</v>
      </c>
      <c r="Q96" s="64">
        <f t="shared" si="46"/>
        <v>0</v>
      </c>
      <c r="R96" s="64">
        <f t="shared" si="39"/>
        <v>0</v>
      </c>
      <c r="S96" s="64">
        <f t="shared" si="40"/>
        <v>0</v>
      </c>
      <c r="T96" s="178">
        <f t="shared" si="48"/>
        <v>0</v>
      </c>
      <c r="U96" s="178">
        <f t="shared" si="49"/>
        <v>0</v>
      </c>
      <c r="V96" s="121">
        <f>IF(Auslosung_Turnierdaten!F37="","",29)</f>
      </c>
      <c r="W96" s="122">
        <f>IF(SP64!V96="","",Auslosung_Turnierdaten!F37)</f>
      </c>
      <c r="X96" s="122">
        <f>IF(SP64!V96="","",Auslosung_Turnierdaten!G37)</f>
      </c>
      <c r="Y96" s="122">
        <f>IF(SP64!V96="","",Auslosung_Turnierdaten!H37)</f>
      </c>
      <c r="Z96" s="122">
        <f>IF(SP64!V96="","",Auslosung_Turnierdaten!I37)</f>
      </c>
      <c r="AA96" s="123">
        <f>IF(SP64!V96="","",SP64!X31)</f>
      </c>
      <c r="AB96" s="123">
        <f>IF(SP64!V96="","",SP64!Z31)</f>
      </c>
      <c r="AC96" s="123">
        <f>IF(SP64!V96="","",SP64!AA31)</f>
      </c>
      <c r="AD96" s="123">
        <f>IF(SP64!V96="","",SP64!AC31)</f>
      </c>
      <c r="AE96" s="123">
        <f>IF(SP64!V96="","",IF($AE$67="VSp",SP64!AD31,SP64!AF31))</f>
      </c>
      <c r="AF96" s="124">
        <f>IF(SP64!V96="","",IF($AF$67="Quot",SP64!AE31,SP64!AG31))</f>
      </c>
      <c r="AG96" s="124">
        <f>IF($AG$67="BED",SP64!AH31,"")</f>
      </c>
      <c r="AH96" s="125">
        <f>IF($AH$67="HS",SP64!AI31,"")</f>
      </c>
      <c r="AM96" s="180"/>
      <c r="AN96" s="181"/>
      <c r="AO96" s="182"/>
      <c r="AP96" s="64">
        <f t="shared" si="43"/>
        <v>0</v>
      </c>
      <c r="AQ96" s="64">
        <f>IF(AND(COUNTIF(L96:L96:$L$129,L96)=1,F96+G96&gt;0),L96&amp;"-","")</f>
      </c>
      <c r="AR96" s="64">
        <f t="shared" si="44"/>
      </c>
      <c r="AS96" s="202"/>
      <c r="AT96" s="202"/>
      <c r="AU96" s="203">
        <f t="shared" si="45"/>
      </c>
    </row>
    <row r="97" spans="3:47" ht="10.5">
      <c r="C97" s="108">
        <v>95</v>
      </c>
      <c r="D97" s="133" t="str">
        <f>IF(D63="Sieger 25","Sieger 61",IF(E63="Sieger 26","Sieger 61",IF(D63=E63,"Freilos",IF(E63="Freilos",D63,IF(D63="Freilos",E63,IF(F63&gt;G63,D63,IF(G63&gt;F63,E63,"Sieger 61")))))))</f>
        <v>Sieger 61</v>
      </c>
      <c r="E97" s="134" t="str">
        <f>IF(D64="Sieger 27","Sieger 62",IF(E64="Sieger 28","Sieger 62",IF(D64=E64,"Freilos",IF(E64="Freilos",D64,IF(D64="Freilos",E64,IF(F64&gt;G64,D64,IF(G64&gt;F64,E64,"Sieger 62")))))))</f>
        <v>Sieger 62</v>
      </c>
      <c r="F97" s="79"/>
      <c r="G97" s="80"/>
      <c r="H97" s="104"/>
      <c r="I97" s="104"/>
      <c r="J97" s="104"/>
      <c r="K97" s="105"/>
      <c r="L97" s="217"/>
      <c r="N97" s="64">
        <f t="shared" si="36"/>
        <v>0</v>
      </c>
      <c r="O97" s="64">
        <f t="shared" si="37"/>
        <v>0</v>
      </c>
      <c r="P97" s="64">
        <f t="shared" si="38"/>
        <v>0</v>
      </c>
      <c r="Q97" s="64">
        <f t="shared" si="46"/>
        <v>0</v>
      </c>
      <c r="R97" s="64">
        <f t="shared" si="39"/>
        <v>0</v>
      </c>
      <c r="S97" s="64">
        <f t="shared" si="40"/>
        <v>0</v>
      </c>
      <c r="T97" s="178">
        <f t="shared" si="48"/>
        <v>0</v>
      </c>
      <c r="U97" s="178">
        <f t="shared" si="49"/>
        <v>0</v>
      </c>
      <c r="V97" s="121">
        <f>IF(Auslosung_Turnierdaten!F38="","",30)</f>
      </c>
      <c r="W97" s="122">
        <f>IF(SP64!V97="","",Auslosung_Turnierdaten!F38)</f>
      </c>
      <c r="X97" s="122">
        <f>IF(SP64!V97="","",Auslosung_Turnierdaten!G38)</f>
      </c>
      <c r="Y97" s="122">
        <f>IF(SP64!V97="","",Auslosung_Turnierdaten!H38)</f>
      </c>
      <c r="Z97" s="122">
        <f>IF(SP64!V97="","",Auslosung_Turnierdaten!I38)</f>
      </c>
      <c r="AA97" s="123">
        <f>IF(SP64!V97="","",SP64!X32)</f>
      </c>
      <c r="AB97" s="123">
        <f>IF(SP64!V97="","",SP64!Z32)</f>
      </c>
      <c r="AC97" s="123">
        <f>IF(SP64!V97="","",SP64!AA32)</f>
      </c>
      <c r="AD97" s="123">
        <f>IF(SP64!V97="","",SP64!AC32)</f>
      </c>
      <c r="AE97" s="123">
        <f>IF(SP64!V97="","",IF($AE$67="VSp",SP64!AD32,SP64!AF32))</f>
      </c>
      <c r="AF97" s="124">
        <f>IF(SP64!V97="","",IF($AF$67="Quot",SP64!AE32,SP64!AG32))</f>
      </c>
      <c r="AG97" s="124">
        <f>IF($AG$67="BED",SP64!AH32,"")</f>
      </c>
      <c r="AH97" s="125">
        <f>IF($AH$67="HS",SP64!AI32,"")</f>
      </c>
      <c r="AM97" s="180"/>
      <c r="AN97" s="181"/>
      <c r="AO97" s="182"/>
      <c r="AP97" s="64">
        <f t="shared" si="43"/>
        <v>0</v>
      </c>
      <c r="AQ97" s="64">
        <f>IF(AND(COUNTIF(L97:L97:$L$129,L97)=1,F97+G97&gt;0),L97&amp;"-","")</f>
      </c>
      <c r="AR97" s="64">
        <f t="shared" si="44"/>
      </c>
      <c r="AS97" s="202"/>
      <c r="AT97" s="202"/>
      <c r="AU97" s="203">
        <f t="shared" si="45"/>
      </c>
    </row>
    <row r="98" spans="3:47" ht="11.25" thickBot="1">
      <c r="C98" s="108">
        <v>96</v>
      </c>
      <c r="D98" s="136" t="str">
        <f>IF(D65="Sieger 29","Sieger 63",IF(E65="Sieger 30","Sieger 63",IF(D65=E65,"Freilos",IF(E65="Freilos",D65,IF(D65="Freilos",E65,IF(F65&gt;G65,D65,IF(G65&gt;F65,E65,"Sieger 63")))))))</f>
        <v>Sieger 63</v>
      </c>
      <c r="E98" s="137" t="str">
        <f>IF(D66="Sieger 31","Sieger 64",IF(E66="Sieger 32","Sieger 64",IF(D66=E66,"Freilos",IF(E66="Freilos",D66,IF(D66="Freilos",E66,IF(F66&gt;G66,D66,IF(G66&gt;F66,E66,"Sieger 64")))))))</f>
        <v>Sieger 64</v>
      </c>
      <c r="F98" s="79"/>
      <c r="G98" s="80"/>
      <c r="H98" s="138"/>
      <c r="I98" s="138"/>
      <c r="J98" s="138"/>
      <c r="K98" s="139"/>
      <c r="L98" s="217"/>
      <c r="N98" s="64">
        <f t="shared" si="36"/>
        <v>0</v>
      </c>
      <c r="O98" s="64">
        <f t="shared" si="37"/>
        <v>0</v>
      </c>
      <c r="P98" s="64">
        <f t="shared" si="38"/>
        <v>0</v>
      </c>
      <c r="Q98" s="64">
        <f t="shared" si="46"/>
        <v>0</v>
      </c>
      <c r="R98" s="64">
        <f t="shared" si="39"/>
        <v>0</v>
      </c>
      <c r="S98" s="64">
        <f t="shared" si="40"/>
        <v>0</v>
      </c>
      <c r="T98" s="178">
        <f t="shared" si="48"/>
        <v>0</v>
      </c>
      <c r="U98" s="178">
        <f t="shared" si="49"/>
        <v>0</v>
      </c>
      <c r="V98" s="121">
        <f>IF(Auslosung_Turnierdaten!F39="","",31)</f>
      </c>
      <c r="W98" s="122">
        <f>IF(SP64!V98="","",Auslosung_Turnierdaten!F39)</f>
      </c>
      <c r="X98" s="122">
        <f>IF(SP64!V98="","",Auslosung_Turnierdaten!G39)</f>
      </c>
      <c r="Y98" s="122">
        <f>IF(SP64!V98="","",Auslosung_Turnierdaten!H39)</f>
      </c>
      <c r="Z98" s="122">
        <f>IF(SP64!V98="","",Auslosung_Turnierdaten!I39)</f>
      </c>
      <c r="AA98" s="123">
        <f>IF(SP64!V98="","",SP64!X33)</f>
      </c>
      <c r="AB98" s="123">
        <f>IF(SP64!V98="","",SP64!Z33)</f>
      </c>
      <c r="AC98" s="123">
        <f>IF(SP64!V98="","",SP64!AA33)</f>
      </c>
      <c r="AD98" s="123">
        <f>IF(SP64!V98="","",SP64!AC33)</f>
      </c>
      <c r="AE98" s="123">
        <f>IF(SP64!V98="","",IF($AE$67="VSp",SP64!AD33,SP64!AF33))</f>
      </c>
      <c r="AF98" s="124">
        <f>IF(SP64!V98="","",IF($AF$67="Quot",SP64!AE33,SP64!AG33))</f>
      </c>
      <c r="AG98" s="124">
        <f>IF($AG$67="BED",SP64!AH33,"")</f>
      </c>
      <c r="AH98" s="125">
        <f>IF($AH$67="HS",SP64!AI33,"")</f>
      </c>
      <c r="AM98" s="180"/>
      <c r="AN98" s="181"/>
      <c r="AO98" s="182"/>
      <c r="AP98" s="64">
        <f t="shared" si="43"/>
        <v>0</v>
      </c>
      <c r="AQ98" s="64">
        <f>IF(AND(COUNTIF(L98:L98:$L$129,L98)=1,F98+G98&gt;0),L98&amp;"-","")</f>
      </c>
      <c r="AR98" s="64">
        <f t="shared" si="44"/>
      </c>
      <c r="AS98" s="202"/>
      <c r="AT98" s="202"/>
      <c r="AU98" s="203">
        <f t="shared" si="45"/>
      </c>
    </row>
    <row r="99" spans="2:47" ht="11.25" thickBot="1">
      <c r="B99" s="87" t="s">
        <v>1066</v>
      </c>
      <c r="C99" s="108">
        <v>97</v>
      </c>
      <c r="D99" s="127" t="str">
        <f>IF(D83="Sieger 65","Sieger 81",IF(E83="Sieger 66","Sieger 81",IF(D83=E83,"Freilos",IF(E83="Freilos",D83,IF(D83="Freilos",E83,IF(F83&gt;G83,D83,IF(G83&gt;F83,E83,"Sieger 81")))))))</f>
        <v>Sieger 81</v>
      </c>
      <c r="E99" s="140" t="str">
        <f>IF(D94="Sieger 55","Verlierer 92",IF(E94="Sieger 56","Verlierer 92",IF(D94=E94,"Freilos",IF(D94="Freilos",D94,IF(E94="Freilos",E94,IF(F94&gt;G94,E94,IF(G94&gt;F94,D94,"Verlierer 92")))))))</f>
        <v>Verlierer 92</v>
      </c>
      <c r="F99" s="79"/>
      <c r="G99" s="80"/>
      <c r="H99" s="90"/>
      <c r="I99" s="90"/>
      <c r="J99" s="90"/>
      <c r="K99" s="91"/>
      <c r="L99" s="217"/>
      <c r="M99" s="92">
        <f aca="true" t="shared" si="50" ref="M99:M106">IF(F99&gt;G99,E99,IF(G99&gt;F99,D99,""))</f>
      </c>
      <c r="N99" s="64">
        <f t="shared" si="36"/>
        <v>0</v>
      </c>
      <c r="O99" s="64">
        <f t="shared" si="37"/>
        <v>0</v>
      </c>
      <c r="P99" s="64">
        <f t="shared" si="38"/>
        <v>0</v>
      </c>
      <c r="Q99" s="64">
        <f t="shared" si="46"/>
        <v>0</v>
      </c>
      <c r="R99" s="64">
        <f t="shared" si="39"/>
        <v>0</v>
      </c>
      <c r="S99" s="64">
        <f t="shared" si="40"/>
        <v>0</v>
      </c>
      <c r="T99" s="178">
        <f t="shared" si="41"/>
        <v>0</v>
      </c>
      <c r="U99" s="178">
        <f t="shared" si="42"/>
        <v>0</v>
      </c>
      <c r="V99" s="121">
        <f>IF(Auslosung_Turnierdaten!F40="","",32)</f>
      </c>
      <c r="W99" s="122">
        <f>IF(SP64!V99="","",Auslosung_Turnierdaten!F40)</f>
      </c>
      <c r="X99" s="122">
        <f>IF(SP64!V99="","",Auslosung_Turnierdaten!G40)</f>
      </c>
      <c r="Y99" s="122">
        <f>IF(SP64!V99="","",Auslosung_Turnierdaten!H40)</f>
      </c>
      <c r="Z99" s="122">
        <f>IF(SP64!V99="","",Auslosung_Turnierdaten!I40)</f>
      </c>
      <c r="AA99" s="123">
        <f>IF(SP64!V99="","",SP64!X34)</f>
      </c>
      <c r="AB99" s="123">
        <f>IF(SP64!V99="","",SP64!Z34)</f>
      </c>
      <c r="AC99" s="123">
        <f>IF(SP64!V99="","",SP64!AA34)</f>
      </c>
      <c r="AD99" s="123">
        <f>IF(SP64!V99="","",SP64!AC34)</f>
      </c>
      <c r="AE99" s="123">
        <f>IF(SP64!V99="","",IF($AE$67="VSp",SP64!AD34,SP64!AF34))</f>
      </c>
      <c r="AF99" s="124">
        <f>IF(SP64!V99="","",IF($AF$67="Quot",SP64!AE34,SP64!AG34))</f>
      </c>
      <c r="AG99" s="124">
        <f>IF($AG$67="BED",SP64!AH34,"")</f>
      </c>
      <c r="AH99" s="125">
        <f>IF($AH$67="HS",SP64!AI34,"")</f>
      </c>
      <c r="AM99" s="180"/>
      <c r="AN99" s="181"/>
      <c r="AO99" s="182"/>
      <c r="AP99" s="64">
        <f t="shared" si="43"/>
        <v>0</v>
      </c>
      <c r="AQ99" s="64">
        <f>IF(AND(COUNTIF(L99:L99:$L$129,L99)=1,F99+G99&gt;0),L99&amp;"-","")</f>
      </c>
      <c r="AR99" s="64">
        <f t="shared" si="44"/>
      </c>
      <c r="AS99" s="202"/>
      <c r="AT99" s="202"/>
      <c r="AU99" s="203">
        <f t="shared" si="45"/>
      </c>
    </row>
    <row r="100" spans="3:47" ht="10.5">
      <c r="C100" s="108">
        <v>98</v>
      </c>
      <c r="D100" s="127" t="str">
        <f>IF(D84="Sieger 67","Sieger 82",IF(E84="Sieger 68","Sieger 82",IF(D84=E84,"Freilos",IF(E84="Freilos",D84,IF(D84="Freilos",E84,IF(F84&gt;G84,D84,IF(G84&gt;F84,E84,"Sieger 82")))))))</f>
        <v>Sieger 82</v>
      </c>
      <c r="E100" s="140" t="str">
        <f>IF(D93="Sieger 53","Verlierer 91",IF(E93="Sieger 54","Verlierer 91",IF(D93=E93,"Freilos",IF(D93="Freilos",D93,IF(E93="Freilos",E93,IF(F93&gt;G93,E93,IF(G93&gt;F93,D93,"Verlierer 91")))))))</f>
        <v>Verlierer 91</v>
      </c>
      <c r="F100" s="79"/>
      <c r="G100" s="80"/>
      <c r="H100" s="95"/>
      <c r="I100" s="95"/>
      <c r="J100" s="95"/>
      <c r="K100" s="96"/>
      <c r="L100" s="217"/>
      <c r="M100" s="92">
        <f t="shared" si="50"/>
      </c>
      <c r="N100" s="64">
        <f t="shared" si="36"/>
        <v>0</v>
      </c>
      <c r="O100" s="64">
        <f t="shared" si="37"/>
        <v>0</v>
      </c>
      <c r="P100" s="64">
        <f t="shared" si="38"/>
        <v>0</v>
      </c>
      <c r="Q100" s="64">
        <f t="shared" si="46"/>
        <v>0</v>
      </c>
      <c r="R100" s="64">
        <f t="shared" si="39"/>
        <v>0</v>
      </c>
      <c r="S100" s="64">
        <f t="shared" si="40"/>
        <v>0</v>
      </c>
      <c r="T100" s="178">
        <f t="shared" si="41"/>
        <v>0</v>
      </c>
      <c r="U100" s="178">
        <f t="shared" si="42"/>
        <v>0</v>
      </c>
      <c r="V100" s="121">
        <f>IF(Auslosung_Turnierdaten!F41="","",33)</f>
      </c>
      <c r="W100" s="122">
        <f>IF(SP64!V100="","",Auslosung_Turnierdaten!F41)</f>
      </c>
      <c r="X100" s="122">
        <f>IF(SP64!V100="","",Auslosung_Turnierdaten!G41)</f>
      </c>
      <c r="Y100" s="122">
        <f>IF(SP64!V100="","",Auslosung_Turnierdaten!H41)</f>
      </c>
      <c r="Z100" s="122">
        <f>IF(SP64!V100="","",Auslosung_Turnierdaten!I41)</f>
      </c>
      <c r="AA100" s="123">
        <f>IF(SP64!V100="","",SP64!X35)</f>
      </c>
      <c r="AB100" s="123">
        <f>IF(SP64!V100="","",SP64!Z35)</f>
      </c>
      <c r="AC100" s="123">
        <f>IF(SP64!V100="","",SP64!AA35)</f>
      </c>
      <c r="AD100" s="123">
        <f>IF(SP64!V100="","",SP64!AC35)</f>
      </c>
      <c r="AE100" s="123">
        <f>IF(SP64!V100="","",IF($AE$67="VSp",SP64!AD35,SP64!AF35))</f>
      </c>
      <c r="AF100" s="124">
        <f>IF(SP64!V100="","",IF($AF$67="Quot",SP64!AE35,SP64!AG35))</f>
      </c>
      <c r="AG100" s="124">
        <f>IF($AG$67="BED",SP64!AH35,"")</f>
      </c>
      <c r="AH100" s="125">
        <f>IF($AH$67="HS",SP64!AI35,"")</f>
      </c>
      <c r="AM100" s="180"/>
      <c r="AN100" s="181"/>
      <c r="AO100" s="182"/>
      <c r="AP100" s="64">
        <f t="shared" si="43"/>
        <v>0</v>
      </c>
      <c r="AQ100" s="64">
        <f>IF(AND(COUNTIF(L100:L100:$L$129,L100)=1,F100+G100&gt;0),L100&amp;"-","")</f>
      </c>
      <c r="AR100" s="64">
        <f t="shared" si="44"/>
      </c>
      <c r="AS100" s="202"/>
      <c r="AT100" s="202"/>
      <c r="AU100" s="203">
        <f t="shared" si="45"/>
      </c>
    </row>
    <row r="101" spans="3:47" ht="10.5">
      <c r="C101" s="108">
        <v>99</v>
      </c>
      <c r="D101" s="127" t="str">
        <f>IF(D85="Sieger 69","Sieger 83",IF(E85="Sieger 70","Sieger 83",IF(D85=E85,"Freilos",IF(E85="Freilos",D85,IF(D85="Freilos",E85,IF(F85&gt;G85,D85,IF(G85&gt;F85,E85,"Sieger 83")))))))</f>
        <v>Sieger 83</v>
      </c>
      <c r="E101" s="140" t="str">
        <f>IF(D92="Sieger 51","Verlierer 90",IF(E92="Sieger 52","Verlierer 90",IF(D92=E92,"Freilos",IF(D92="Freilos",D92,IF(E92="Freilos",E92,IF(F92&gt;G92,E92,IF(G92&gt;F92,D92,"Verlierer 90")))))))</f>
        <v>Verlierer 90</v>
      </c>
      <c r="F101" s="79"/>
      <c r="G101" s="80"/>
      <c r="H101" s="95"/>
      <c r="I101" s="95"/>
      <c r="J101" s="95"/>
      <c r="K101" s="96"/>
      <c r="L101" s="217"/>
      <c r="M101" s="92">
        <f t="shared" si="50"/>
      </c>
      <c r="N101" s="64">
        <f t="shared" si="36"/>
        <v>0</v>
      </c>
      <c r="O101" s="64">
        <f t="shared" si="37"/>
        <v>0</v>
      </c>
      <c r="P101" s="64">
        <f t="shared" si="38"/>
        <v>0</v>
      </c>
      <c r="Q101" s="64">
        <f t="shared" si="46"/>
        <v>0</v>
      </c>
      <c r="R101" s="64">
        <f t="shared" si="39"/>
        <v>0</v>
      </c>
      <c r="S101" s="64">
        <f t="shared" si="40"/>
        <v>0</v>
      </c>
      <c r="T101" s="178">
        <f t="shared" si="41"/>
        <v>0</v>
      </c>
      <c r="U101" s="178">
        <f t="shared" si="42"/>
        <v>0</v>
      </c>
      <c r="V101" s="121">
        <f>IF(Auslosung_Turnierdaten!F42="","",34)</f>
      </c>
      <c r="W101" s="122">
        <f>IF(SP64!V101="","",Auslosung_Turnierdaten!F42)</f>
      </c>
      <c r="X101" s="122">
        <f>IF(SP64!V101="","",Auslosung_Turnierdaten!G42)</f>
      </c>
      <c r="Y101" s="122">
        <f>IF(SP64!V101="","",Auslosung_Turnierdaten!H42)</f>
      </c>
      <c r="Z101" s="122">
        <f>IF(SP64!V101="","",Auslosung_Turnierdaten!I42)</f>
      </c>
      <c r="AA101" s="123">
        <f>IF(SP64!V101="","",SP64!X36)</f>
      </c>
      <c r="AB101" s="123">
        <f>IF(SP64!V101="","",SP64!Z36)</f>
      </c>
      <c r="AC101" s="123">
        <f>IF(SP64!V101="","",SP64!AA36)</f>
      </c>
      <c r="AD101" s="123">
        <f>IF(SP64!V101="","",SP64!AC36)</f>
      </c>
      <c r="AE101" s="123">
        <f>IF(SP64!V101="","",IF($AE$67="VSp",SP64!AD36,SP64!AF36))</f>
      </c>
      <c r="AF101" s="124">
        <f>IF(SP64!V101="","",IF($AF$67="Quot",SP64!AE36,SP64!AG36))</f>
      </c>
      <c r="AG101" s="124">
        <f>IF($AG$67="BED",SP64!AH36,"")</f>
      </c>
      <c r="AH101" s="125">
        <f>IF($AH$67="HS",SP64!AI36,"")</f>
      </c>
      <c r="AM101" s="180"/>
      <c r="AN101" s="181"/>
      <c r="AO101" s="182"/>
      <c r="AP101" s="64">
        <f t="shared" si="43"/>
        <v>0</v>
      </c>
      <c r="AQ101" s="64">
        <f>IF(AND(COUNTIF(L101:L101:$L$129,L101)=1,F101+G101&gt;0),L101&amp;"-","")</f>
      </c>
      <c r="AR101" s="64">
        <f t="shared" si="44"/>
      </c>
      <c r="AS101" s="202"/>
      <c r="AT101" s="202"/>
      <c r="AU101" s="203">
        <f t="shared" si="45"/>
      </c>
    </row>
    <row r="102" spans="3:47" ht="10.5">
      <c r="C102" s="108">
        <v>100</v>
      </c>
      <c r="D102" s="127" t="str">
        <f>IF(D86="Sieger 71","Sieger 84",IF(E86="Sieger 72","Sieger 84",IF(D86=E86,"Freilos",IF(E86="Freilos",D86,IF(D86="Freilos",E86,IF(F86&gt;G86,D86,IF(G86&gt;F86,E86,"Sieger 84")))))))</f>
        <v>Sieger 84</v>
      </c>
      <c r="E102" s="140" t="str">
        <f>IF(D91="Sieger 49","Verlierer 89",IF(E91="Sieger 50","Verlierer 89",IF(D91=E91,"Freilos",IF(D91="Freilos",D91,IF(E91="Freilos",E91,IF(F91&gt;G91,E91,IF(G91&gt;F91,D91,"Verlierer 89")))))))</f>
        <v>Verlierer 89</v>
      </c>
      <c r="F102" s="79"/>
      <c r="G102" s="80"/>
      <c r="H102" s="95"/>
      <c r="I102" s="95"/>
      <c r="J102" s="95"/>
      <c r="K102" s="96"/>
      <c r="L102" s="217"/>
      <c r="M102" s="92">
        <f t="shared" si="50"/>
      </c>
      <c r="N102" s="64">
        <f t="shared" si="36"/>
        <v>0</v>
      </c>
      <c r="O102" s="64">
        <f t="shared" si="37"/>
        <v>0</v>
      </c>
      <c r="P102" s="64">
        <f t="shared" si="38"/>
        <v>0</v>
      </c>
      <c r="Q102" s="64">
        <f t="shared" si="46"/>
        <v>0</v>
      </c>
      <c r="R102" s="64">
        <f t="shared" si="39"/>
        <v>0</v>
      </c>
      <c r="S102" s="64">
        <f t="shared" si="40"/>
        <v>0</v>
      </c>
      <c r="T102" s="178">
        <f t="shared" si="41"/>
        <v>0</v>
      </c>
      <c r="U102" s="178">
        <f t="shared" si="42"/>
        <v>0</v>
      </c>
      <c r="V102" s="121">
        <f>IF(Auslosung_Turnierdaten!F43="","",35)</f>
      </c>
      <c r="W102" s="122">
        <f>IF(SP64!V102="","",Auslosung_Turnierdaten!F43)</f>
      </c>
      <c r="X102" s="122">
        <f>IF(SP64!V102="","",Auslosung_Turnierdaten!G43)</f>
      </c>
      <c r="Y102" s="122">
        <f>IF(SP64!V102="","",Auslosung_Turnierdaten!H43)</f>
      </c>
      <c r="Z102" s="122">
        <f>IF(SP64!V102="","",Auslosung_Turnierdaten!I43)</f>
      </c>
      <c r="AA102" s="123">
        <f>IF(SP64!V102="","",SP64!X37)</f>
      </c>
      <c r="AB102" s="123">
        <f>IF(SP64!V102="","",SP64!Z37)</f>
      </c>
      <c r="AC102" s="123">
        <f>IF(SP64!V102="","",SP64!AA37)</f>
      </c>
      <c r="AD102" s="123">
        <f>IF(SP64!V102="","",SP64!AC37)</f>
      </c>
      <c r="AE102" s="123">
        <f>IF(SP64!V102="","",IF($AE$67="VSp",SP64!AD37,SP64!AF37))</f>
      </c>
      <c r="AF102" s="124">
        <f>IF(SP64!V102="","",IF($AF$67="Quot",SP64!AE37,SP64!AG37))</f>
      </c>
      <c r="AG102" s="124">
        <f>IF($AG$67="BED",SP64!AH37,"")</f>
      </c>
      <c r="AH102" s="125">
        <f>IF($AH$67="HS",SP64!AI37,"")</f>
      </c>
      <c r="AM102" s="180"/>
      <c r="AN102" s="181"/>
      <c r="AO102" s="182"/>
      <c r="AP102" s="64">
        <f t="shared" si="43"/>
        <v>0</v>
      </c>
      <c r="AQ102" s="64">
        <f>IF(AND(COUNTIF(L102:L102:$L$129,L102)=1,F102+G102&gt;0),L102&amp;"-","")</f>
      </c>
      <c r="AR102" s="64">
        <f t="shared" si="44"/>
      </c>
      <c r="AS102" s="202"/>
      <c r="AT102" s="202"/>
      <c r="AU102" s="203">
        <f t="shared" si="45"/>
      </c>
    </row>
    <row r="103" spans="3:47" ht="10.5">
      <c r="C103" s="108">
        <v>101</v>
      </c>
      <c r="D103" s="127" t="str">
        <f>IF(D87="Sieger 73","Sieger 85",IF(E87="Sieger 74","Sieger 85",IF(D87=E87,"Freilos",IF(E87="Freilos",D87,IF(D87="Freilos",E87,IF(F87&gt;G87,D87,IF(G87&gt;F87,E87,"Sieger 85")))))))</f>
        <v>Sieger 85</v>
      </c>
      <c r="E103" s="140" t="str">
        <f>IF(D98="Sieger 63","Verlierer 96",IF(E98="Sieger 64","Verlierer 96",IF(D98=E98,"Freilos",IF(D98="Freilos",D98,IF(E98="Freilos",E98,IF(F98&gt;G98,E98,IF(G98&gt;F98,D98,"Verlierer 96")))))))</f>
        <v>Verlierer 96</v>
      </c>
      <c r="F103" s="79"/>
      <c r="G103" s="80"/>
      <c r="H103" s="95"/>
      <c r="I103" s="95"/>
      <c r="J103" s="95"/>
      <c r="K103" s="96"/>
      <c r="L103" s="217"/>
      <c r="M103" s="92">
        <f t="shared" si="50"/>
      </c>
      <c r="N103" s="64">
        <f t="shared" si="36"/>
        <v>0</v>
      </c>
      <c r="O103" s="64">
        <f t="shared" si="37"/>
        <v>0</v>
      </c>
      <c r="P103" s="64">
        <f t="shared" si="38"/>
        <v>0</v>
      </c>
      <c r="Q103" s="64">
        <f t="shared" si="46"/>
        <v>0</v>
      </c>
      <c r="R103" s="64">
        <f t="shared" si="39"/>
        <v>0</v>
      </c>
      <c r="S103" s="64">
        <f t="shared" si="40"/>
        <v>0</v>
      </c>
      <c r="T103" s="178">
        <f t="shared" si="41"/>
        <v>0</v>
      </c>
      <c r="U103" s="178">
        <f t="shared" si="42"/>
        <v>0</v>
      </c>
      <c r="V103" s="121">
        <f>IF(Auslosung_Turnierdaten!F44="","",36)</f>
      </c>
      <c r="W103" s="122">
        <f>IF(SP64!V103="","",Auslosung_Turnierdaten!F44)</f>
      </c>
      <c r="X103" s="122">
        <f>IF(SP64!V103="","",Auslosung_Turnierdaten!G44)</f>
      </c>
      <c r="Y103" s="122">
        <f>IF(SP64!V103="","",Auslosung_Turnierdaten!H44)</f>
      </c>
      <c r="Z103" s="122">
        <f>IF(SP64!V103="","",Auslosung_Turnierdaten!I44)</f>
      </c>
      <c r="AA103" s="123">
        <f>IF(SP64!V103="","",SP64!X38)</f>
      </c>
      <c r="AB103" s="123">
        <f>IF(SP64!V103="","",SP64!Z38)</f>
      </c>
      <c r="AC103" s="123">
        <f>IF(SP64!V103="","",SP64!AA38)</f>
      </c>
      <c r="AD103" s="123">
        <f>IF(SP64!V103="","",SP64!AC38)</f>
      </c>
      <c r="AE103" s="123">
        <f>IF(SP64!V103="","",IF($AE$67="VSp",SP64!AD38,SP64!AF38))</f>
      </c>
      <c r="AF103" s="124">
        <f>IF(SP64!V103="","",IF($AF$67="Quot",SP64!AE38,SP64!AG38))</f>
      </c>
      <c r="AG103" s="124">
        <f>IF($AG$67="BED",SP64!AH38,"")</f>
      </c>
      <c r="AH103" s="125">
        <f>IF($AH$67="HS",SP64!AI38,"")</f>
      </c>
      <c r="AM103" s="180"/>
      <c r="AN103" s="181"/>
      <c r="AO103" s="182"/>
      <c r="AP103" s="64">
        <f t="shared" si="43"/>
        <v>0</v>
      </c>
      <c r="AQ103" s="64">
        <f>IF(AND(COUNTIF(L103:L103:$L$129,L103)=1,F103+G103&gt;0),L103&amp;"-","")</f>
      </c>
      <c r="AR103" s="64">
        <f t="shared" si="44"/>
      </c>
      <c r="AS103" s="202"/>
      <c r="AT103" s="202"/>
      <c r="AU103" s="203">
        <f t="shared" si="45"/>
      </c>
    </row>
    <row r="104" spans="3:47" ht="10.5">
      <c r="C104" s="108">
        <v>102</v>
      </c>
      <c r="D104" s="127" t="str">
        <f>IF(D88="Sieger 75","Sieger 86",IF(E88="Sieger 76","Sieger 86",IF(D88=E88,"Freilos",IF(E88="Freilos",D88,IF(D88="Freilos",E88,IF(F88&gt;G88,D88,IF(G88&gt;F88,E88,"Sieger 86")))))))</f>
        <v>Sieger 86</v>
      </c>
      <c r="E104" s="140" t="str">
        <f>IF(D97="Sieger 61","Verlierer 95",IF(E97="Sieger 62","Verlierer 95",IF(D97=E97,"Freilos",IF(D97="Freilos",D97,IF(E97="Freilos",E97,IF(F97&gt;G97,E97,IF(G97&gt;F97,D97,"Verlierer 95")))))))</f>
        <v>Verlierer 95</v>
      </c>
      <c r="F104" s="79"/>
      <c r="G104" s="80"/>
      <c r="H104" s="95"/>
      <c r="I104" s="95"/>
      <c r="J104" s="95"/>
      <c r="K104" s="96"/>
      <c r="L104" s="217"/>
      <c r="M104" s="92">
        <f t="shared" si="50"/>
      </c>
      <c r="N104" s="64">
        <f t="shared" si="36"/>
        <v>0</v>
      </c>
      <c r="O104" s="64">
        <f t="shared" si="37"/>
        <v>0</v>
      </c>
      <c r="P104" s="64">
        <f t="shared" si="38"/>
        <v>0</v>
      </c>
      <c r="Q104" s="64">
        <f t="shared" si="46"/>
        <v>0</v>
      </c>
      <c r="R104" s="64">
        <f t="shared" si="39"/>
        <v>0</v>
      </c>
      <c r="S104" s="64">
        <f t="shared" si="40"/>
        <v>0</v>
      </c>
      <c r="T104" s="178">
        <f t="shared" si="41"/>
        <v>0</v>
      </c>
      <c r="U104" s="178">
        <f t="shared" si="42"/>
        <v>0</v>
      </c>
      <c r="V104" s="121">
        <f>IF(Auslosung_Turnierdaten!F45="","",37)</f>
      </c>
      <c r="W104" s="122">
        <f>IF(SP64!V104="","",Auslosung_Turnierdaten!F45)</f>
      </c>
      <c r="X104" s="122">
        <f>IF(SP64!V104="","",Auslosung_Turnierdaten!G45)</f>
      </c>
      <c r="Y104" s="122">
        <f>IF(SP64!V104="","",Auslosung_Turnierdaten!H45)</f>
      </c>
      <c r="Z104" s="122">
        <f>IF(SP64!V104="","",Auslosung_Turnierdaten!I45)</f>
      </c>
      <c r="AA104" s="123">
        <f>IF(SP64!V104="","",SP64!X39)</f>
      </c>
      <c r="AB104" s="123">
        <f>IF(SP64!V104="","",SP64!Z39)</f>
      </c>
      <c r="AC104" s="123">
        <f>IF(SP64!V104="","",SP64!AA39)</f>
      </c>
      <c r="AD104" s="123">
        <f>IF(SP64!V104="","",SP64!AC39)</f>
      </c>
      <c r="AE104" s="123">
        <f>IF(SP64!V104="","",IF($AE$67="VSp",SP64!AD39,SP64!AF39))</f>
      </c>
      <c r="AF104" s="124">
        <f>IF(SP64!V104="","",IF($AF$67="Quot",SP64!AE39,SP64!AG39))</f>
      </c>
      <c r="AG104" s="124">
        <f>IF($AG$67="BED",SP64!AH39,"")</f>
      </c>
      <c r="AH104" s="125">
        <f>IF($AH$67="HS",SP64!AI39,"")</f>
      </c>
      <c r="AM104" s="180"/>
      <c r="AN104" s="181"/>
      <c r="AO104" s="182"/>
      <c r="AP104" s="64">
        <f t="shared" si="43"/>
        <v>0</v>
      </c>
      <c r="AQ104" s="64">
        <f>IF(AND(COUNTIF(L104:L104:$L$129,L104)=1,F104+G104&gt;0),L104&amp;"-","")</f>
      </c>
      <c r="AR104" s="64">
        <f t="shared" si="44"/>
      </c>
      <c r="AS104" s="202"/>
      <c r="AT104" s="202"/>
      <c r="AU104" s="203">
        <f t="shared" si="45"/>
      </c>
    </row>
    <row r="105" spans="3:47" ht="10.5">
      <c r="C105" s="108">
        <v>103</v>
      </c>
      <c r="D105" s="127" t="str">
        <f>IF(D89="Sieger 77","Sieger 87",IF(E89="Sieger 78","Sieger 87",IF(D89=E89,"Freilos",IF(E89="Freilos",D89,IF(D89="Freilos",E89,IF(F89&gt;G89,D89,IF(G89&gt;F89,E89,"Sieger 87")))))))</f>
        <v>Sieger 87</v>
      </c>
      <c r="E105" s="140" t="str">
        <f>IF(D96="Sieger 59","Verlierer 94",IF(E96="Sieger 60","Verlierer 94",IF(D96=E96,"Freilos",IF(D96="Freilos",D96,IF(E96="Freilos",E96,IF(F96&gt;G96,E96,IF(G96&gt;F96,D96,"Verlierer 94")))))))</f>
        <v>Verlierer 94</v>
      </c>
      <c r="F105" s="79"/>
      <c r="G105" s="80"/>
      <c r="H105" s="95"/>
      <c r="I105" s="95"/>
      <c r="J105" s="95"/>
      <c r="K105" s="96"/>
      <c r="L105" s="217"/>
      <c r="M105" s="92">
        <f t="shared" si="50"/>
      </c>
      <c r="N105" s="64">
        <f t="shared" si="36"/>
        <v>0</v>
      </c>
      <c r="O105" s="64">
        <f t="shared" si="37"/>
        <v>0</v>
      </c>
      <c r="P105" s="64">
        <f t="shared" si="38"/>
        <v>0</v>
      </c>
      <c r="Q105" s="64">
        <f t="shared" si="46"/>
        <v>0</v>
      </c>
      <c r="R105" s="64">
        <f t="shared" si="39"/>
        <v>0</v>
      </c>
      <c r="S105" s="64">
        <f t="shared" si="40"/>
        <v>0</v>
      </c>
      <c r="T105" s="178">
        <f t="shared" si="41"/>
        <v>0</v>
      </c>
      <c r="U105" s="178">
        <f t="shared" si="42"/>
        <v>0</v>
      </c>
      <c r="V105" s="121">
        <f>IF(Auslosung_Turnierdaten!F46="","",38)</f>
      </c>
      <c r="W105" s="122">
        <f>IF(SP64!V105="","",Auslosung_Turnierdaten!F46)</f>
      </c>
      <c r="X105" s="122">
        <f>IF(SP64!V105="","",Auslosung_Turnierdaten!G46)</f>
      </c>
      <c r="Y105" s="122">
        <f>IF(SP64!V105="","",Auslosung_Turnierdaten!H46)</f>
      </c>
      <c r="Z105" s="122">
        <f>IF(SP64!V105="","",Auslosung_Turnierdaten!I46)</f>
      </c>
      <c r="AA105" s="123">
        <f>IF(SP64!V105="","",SP64!X40)</f>
      </c>
      <c r="AB105" s="123">
        <f>IF(SP64!V105="","",SP64!Z40)</f>
      </c>
      <c r="AC105" s="123">
        <f>IF(SP64!V105="","",SP64!AA40)</f>
      </c>
      <c r="AD105" s="123">
        <f>IF(SP64!V105="","",SP64!AC40)</f>
      </c>
      <c r="AE105" s="123">
        <f>IF(SP64!V105="","",IF($AE$67="VSp",SP64!AD40,SP64!AF40))</f>
      </c>
      <c r="AF105" s="124">
        <f>IF(SP64!V105="","",IF($AF$67="Quot",SP64!AE40,SP64!AG40))</f>
      </c>
      <c r="AG105" s="124">
        <f>IF($AG$67="BED",SP64!AH40,"")</f>
      </c>
      <c r="AH105" s="125">
        <f>IF($AH$67="HS",SP64!AI40,"")</f>
      </c>
      <c r="AM105" s="180"/>
      <c r="AN105" s="181"/>
      <c r="AO105" s="182"/>
      <c r="AP105" s="64">
        <f t="shared" si="43"/>
        <v>0</v>
      </c>
      <c r="AQ105" s="64">
        <f>IF(AND(COUNTIF(L105:L105:$L$129,L105)=1,F105+G105&gt;0),L105&amp;"-","")</f>
      </c>
      <c r="AR105" s="64">
        <f t="shared" si="44"/>
      </c>
      <c r="AS105" s="202"/>
      <c r="AT105" s="202"/>
      <c r="AU105" s="203">
        <f t="shared" si="45"/>
      </c>
    </row>
    <row r="106" spans="3:47" ht="11.25" thickBot="1">
      <c r="C106" s="108">
        <v>104</v>
      </c>
      <c r="D106" s="127" t="str">
        <f>IF(D90="Sieger 79","Sieger 88",IF(E90="Sieger 80","Sieger 88",IF(D90=E90,"Freilos",IF(E90="Freilos",D90,IF(D90="Freilos",E90,IF(F90&gt;G90,D90,IF(G90&gt;F90,E90,"Sieger 88")))))))</f>
        <v>Sieger 88</v>
      </c>
      <c r="E106" s="140" t="str">
        <f>IF(D95="Sieger 57","Verlierer 93",IF(E95="Sieger 58","Verlierer 93",IF(D95=E95,"Freilos",IF(D95="Freilos",D95,IF(E95="Freilos",E95,IF(F95&gt;G95,E95,IF(G95&gt;F95,D95,"Verlierer 93")))))))</f>
        <v>Verlierer 93</v>
      </c>
      <c r="F106" s="79"/>
      <c r="G106" s="80"/>
      <c r="H106" s="99"/>
      <c r="I106" s="99"/>
      <c r="J106" s="99"/>
      <c r="K106" s="100"/>
      <c r="L106" s="217"/>
      <c r="M106" s="92">
        <f t="shared" si="50"/>
      </c>
      <c r="N106" s="64">
        <f t="shared" si="36"/>
        <v>0</v>
      </c>
      <c r="O106" s="64">
        <f t="shared" si="37"/>
        <v>0</v>
      </c>
      <c r="P106" s="64">
        <f t="shared" si="38"/>
        <v>0</v>
      </c>
      <c r="Q106" s="64">
        <f t="shared" si="46"/>
        <v>0</v>
      </c>
      <c r="R106" s="64">
        <f t="shared" si="39"/>
        <v>0</v>
      </c>
      <c r="S106" s="64">
        <f t="shared" si="40"/>
        <v>0</v>
      </c>
      <c r="T106" s="178">
        <f t="shared" si="41"/>
        <v>0</v>
      </c>
      <c r="U106" s="178">
        <f t="shared" si="42"/>
        <v>0</v>
      </c>
      <c r="V106" s="121">
        <f>IF(Auslosung_Turnierdaten!F47="","",39)</f>
      </c>
      <c r="W106" s="122">
        <f>IF(SP64!V106="","",Auslosung_Turnierdaten!F47)</f>
      </c>
      <c r="X106" s="122">
        <f>IF(SP64!V106="","",Auslosung_Turnierdaten!G47)</f>
      </c>
      <c r="Y106" s="122">
        <f>IF(SP64!V106="","",Auslosung_Turnierdaten!H47)</f>
      </c>
      <c r="Z106" s="122">
        <f>IF(SP64!V106="","",Auslosung_Turnierdaten!I47)</f>
      </c>
      <c r="AA106" s="123">
        <f>IF(SP64!V106="","",SP64!X41)</f>
      </c>
      <c r="AB106" s="123">
        <f>IF(SP64!V106="","",SP64!Z41)</f>
      </c>
      <c r="AC106" s="123">
        <f>IF(SP64!V106="","",SP64!AA41)</f>
      </c>
      <c r="AD106" s="123">
        <f>IF(SP64!V106="","",SP64!AC41)</f>
      </c>
      <c r="AE106" s="123">
        <f>IF(SP64!V106="","",IF($AE$67="VSp",SP64!AD41,SP64!AF41))</f>
      </c>
      <c r="AF106" s="124">
        <f>IF(SP64!V106="","",IF($AF$67="Quot",SP64!AE41,SP64!AG41))</f>
      </c>
      <c r="AG106" s="124">
        <f>IF($AG$67="BED",SP64!AH41,"")</f>
      </c>
      <c r="AH106" s="125">
        <f>IF($AH$67="HS",SP64!AI41,"")</f>
      </c>
      <c r="AM106" s="180"/>
      <c r="AN106" s="181"/>
      <c r="AO106" s="182"/>
      <c r="AP106" s="64">
        <f t="shared" si="43"/>
        <v>0</v>
      </c>
      <c r="AQ106" s="64">
        <f>IF(AND(COUNTIF(L106:L106:$L$129,L106)=1,F106+G106&gt;0),L106&amp;"-","")</f>
      </c>
      <c r="AR106" s="64">
        <f t="shared" si="44"/>
      </c>
      <c r="AS106" s="202"/>
      <c r="AT106" s="202"/>
      <c r="AU106" s="203">
        <f t="shared" si="45"/>
      </c>
    </row>
    <row r="107" spans="2:47" ht="11.25" thickBot="1">
      <c r="B107" s="87" t="s">
        <v>1067</v>
      </c>
      <c r="C107" s="108">
        <v>105</v>
      </c>
      <c r="D107" s="109" t="str">
        <f>IF(D99="Sieger 81","Sieger 97",IF(E99="Verlierer 92","Sieger 97",IF(D99=E99,"Freilos",IF(E99="Freilos",D99,IF(D99="Freilos",E99,IF(F99&gt;G99,D99,IF(G99&gt;F99,E99,"Sieger 97")))))))</f>
        <v>Sieger 97</v>
      </c>
      <c r="E107" s="141" t="str">
        <f>IF(D100="Sieger 82","Sieger 98",IF(E100="Verlierer 91","Sieger 98",IF(D100=E100,"Freilos",IF(E100="Freilos",D100,IF(D100="Freilos",E100,IF(F100&gt;G100,D100,IF(G100&gt;F100,E100,"Sieger 98")))))))</f>
        <v>Sieger 98</v>
      </c>
      <c r="F107" s="79"/>
      <c r="G107" s="80"/>
      <c r="H107" s="90"/>
      <c r="I107" s="90"/>
      <c r="J107" s="90"/>
      <c r="K107" s="91"/>
      <c r="L107" s="217"/>
      <c r="M107" s="92">
        <f>IF(F107&gt;G107,E107,IF(G107&gt;F107,D107,""))</f>
      </c>
      <c r="N107" s="64">
        <f aca="true" t="shared" si="51" ref="N107:N118">F107+G107</f>
        <v>0</v>
      </c>
      <c r="O107" s="64">
        <f t="shared" si="37"/>
        <v>0</v>
      </c>
      <c r="P107" s="64">
        <f aca="true" t="shared" si="52" ref="P107:P118">IF(D107="Freilos",0,IF(F107&lt;G107,1,IF(F107&gt;G107,1,0)))</f>
        <v>0</v>
      </c>
      <c r="Q107" s="64">
        <f aca="true" t="shared" si="53" ref="Q107:Q118">IF(D107="Freilos",0,IF(F107&lt;G107,1,IF(F107&gt;G107,1,0)))</f>
        <v>0</v>
      </c>
      <c r="R107" s="64">
        <f aca="true" t="shared" si="54" ref="R107:R118">IF(D107="Freilos",0,IF(F107&gt;G107,1,0))</f>
        <v>0</v>
      </c>
      <c r="S107" s="64">
        <f aca="true" t="shared" si="55" ref="S107:S118">IF(D107="Freilos",0,IF(G107&gt;F107,1,0))</f>
        <v>0</v>
      </c>
      <c r="T107" s="178">
        <f t="shared" si="41"/>
        <v>0</v>
      </c>
      <c r="U107" s="178">
        <f t="shared" si="42"/>
        <v>0</v>
      </c>
      <c r="V107" s="121">
        <f>IF(Auslosung_Turnierdaten!F48="","",40)</f>
      </c>
      <c r="W107" s="122">
        <f>IF(SP64!V107="","",Auslosung_Turnierdaten!F48)</f>
      </c>
      <c r="X107" s="122">
        <f>IF(SP64!V107="","",Auslosung_Turnierdaten!G48)</f>
      </c>
      <c r="Y107" s="122">
        <f>IF(SP64!V107="","",Auslosung_Turnierdaten!H48)</f>
      </c>
      <c r="Z107" s="122">
        <f>IF(SP64!V107="","",Auslosung_Turnierdaten!I48)</f>
      </c>
      <c r="AA107" s="123">
        <f>IF(SP64!V107="","",SP64!X42)</f>
      </c>
      <c r="AB107" s="123">
        <f>IF(SP64!V107="","",SP64!Z42)</f>
      </c>
      <c r="AC107" s="123">
        <f>IF(SP64!V107="","",SP64!AA42)</f>
      </c>
      <c r="AD107" s="123">
        <f>IF(SP64!V107="","",SP64!AC42)</f>
      </c>
      <c r="AE107" s="123">
        <f>IF(SP64!V107="","",IF($AE$67="VSp",SP64!AD42,SP64!AF42))</f>
      </c>
      <c r="AF107" s="124">
        <f>IF(SP64!V107="","",IF($AF$67="Quot",SP64!AE42,SP64!AG42))</f>
      </c>
      <c r="AG107" s="124">
        <f>IF($AG$67="BED",SP64!AH42,"")</f>
      </c>
      <c r="AH107" s="125">
        <f>IF($AH$67="HS",SP64!AI42,"")</f>
      </c>
      <c r="AM107" s="180"/>
      <c r="AN107" s="181"/>
      <c r="AO107" s="182"/>
      <c r="AP107" s="64">
        <f t="shared" si="43"/>
        <v>0</v>
      </c>
      <c r="AQ107" s="64">
        <f>IF(AND(COUNTIF(L107:L107:$L$129,L107)=1,F107+G107&gt;0),L107&amp;"-","")</f>
      </c>
      <c r="AR107" s="64">
        <f t="shared" si="44"/>
      </c>
      <c r="AS107" s="202"/>
      <c r="AT107" s="202"/>
      <c r="AU107" s="203">
        <f t="shared" si="45"/>
      </c>
    </row>
    <row r="108" spans="3:47" ht="10.5">
      <c r="C108" s="108">
        <v>106</v>
      </c>
      <c r="D108" s="116" t="str">
        <f>IF(D101="Sieger 83","Sieger 99",IF(E101="Verlierer 90","Sieger 99",IF(D101=E101,"Freilos",IF(E101="Freilos",D101,IF(D101="Freilos",E101,IF(F101&gt;G101,D101,IF(G101&gt;F101,E101,"Sieger 99")))))))</f>
        <v>Sieger 99</v>
      </c>
      <c r="E108" s="142" t="str">
        <f>IF(D102="Sieger 84","Sieger 100",IF(E102="Verlierer 89","Sieger 100",IF(D102=E102,"Freilos",IF(E102="Freilos",D102,IF(D102="Freilos",E102,IF(F102&gt;G102,D102,IF(G102&gt;F102,E102,"Sieger 100")))))))</f>
        <v>Sieger 100</v>
      </c>
      <c r="F108" s="79"/>
      <c r="G108" s="80"/>
      <c r="H108" s="95"/>
      <c r="I108" s="95"/>
      <c r="J108" s="95"/>
      <c r="K108" s="96"/>
      <c r="L108" s="217"/>
      <c r="M108" s="92">
        <f>IF(F108&gt;G108,E108,IF(G108&gt;F108,D108,""))</f>
      </c>
      <c r="N108" s="64">
        <f t="shared" si="51"/>
        <v>0</v>
      </c>
      <c r="O108" s="64">
        <f t="shared" si="37"/>
        <v>0</v>
      </c>
      <c r="P108" s="64">
        <f t="shared" si="52"/>
        <v>0</v>
      </c>
      <c r="Q108" s="64">
        <f t="shared" si="53"/>
        <v>0</v>
      </c>
      <c r="R108" s="64">
        <f t="shared" si="54"/>
        <v>0</v>
      </c>
      <c r="S108" s="64">
        <f t="shared" si="55"/>
        <v>0</v>
      </c>
      <c r="T108" s="178">
        <f t="shared" si="41"/>
        <v>0</v>
      </c>
      <c r="U108" s="178">
        <f t="shared" si="42"/>
        <v>0</v>
      </c>
      <c r="V108" s="121">
        <f>IF(Auslosung_Turnierdaten!F49="","",41)</f>
      </c>
      <c r="W108" s="122">
        <f>IF(SP64!V108="","",Auslosung_Turnierdaten!F49)</f>
      </c>
      <c r="X108" s="122">
        <f>IF(SP64!V108="","",Auslosung_Turnierdaten!G49)</f>
      </c>
      <c r="Y108" s="122">
        <f>IF(SP64!V108="","",Auslosung_Turnierdaten!H49)</f>
      </c>
      <c r="Z108" s="122">
        <f>IF(SP64!V108="","",Auslosung_Turnierdaten!I49)</f>
      </c>
      <c r="AA108" s="123">
        <f>IF(SP64!V108="","",SP64!X43)</f>
      </c>
      <c r="AB108" s="123">
        <f>IF(SP64!V108="","",SP64!Z43)</f>
      </c>
      <c r="AC108" s="123">
        <f>IF(SP64!V108="","",SP64!AA43)</f>
      </c>
      <c r="AD108" s="123">
        <f>IF(SP64!V108="","",SP64!AC43)</f>
      </c>
      <c r="AE108" s="123">
        <f>IF(SP64!V108="","",IF($AE$67="VSp",SP64!AD43,SP64!AF43))</f>
      </c>
      <c r="AF108" s="124">
        <f>IF(SP64!V108="","",IF($AF$67="Quot",SP64!AE43,SP64!AG43))</f>
      </c>
      <c r="AG108" s="124">
        <f>IF($AG$67="BED",SP64!AH43,"")</f>
      </c>
      <c r="AH108" s="125">
        <f>IF($AH$67="HS",SP64!AI43,"")</f>
      </c>
      <c r="AM108" s="180"/>
      <c r="AN108" s="181"/>
      <c r="AO108" s="182"/>
      <c r="AP108" s="64">
        <f t="shared" si="43"/>
        <v>0</v>
      </c>
      <c r="AQ108" s="64">
        <f>IF(AND(COUNTIF(L108:L108:$L$129,L108)=1,F108+G108&gt;0),L108&amp;"-","")</f>
      </c>
      <c r="AR108" s="64">
        <f t="shared" si="44"/>
      </c>
      <c r="AS108" s="202"/>
      <c r="AT108" s="202"/>
      <c r="AU108" s="203">
        <f t="shared" si="45"/>
      </c>
    </row>
    <row r="109" spans="3:47" ht="10.5">
      <c r="C109" s="108">
        <v>107</v>
      </c>
      <c r="D109" s="116" t="str">
        <f>IF(D103="Sieger 85","Sieger 101",IF(E103="Verlierer 96","Sieger 101",IF(D103=E103,"Freilos",IF(E103="Freilos",D103,IF(D103="Freilos",E103,IF(F103&gt;G103,D103,IF(G103&gt;F103,E103,"Sieger 101")))))))</f>
        <v>Sieger 101</v>
      </c>
      <c r="E109" s="142" t="str">
        <f>IF(D104="Sieger 86","Sieger 102",IF(E104="Verlierer 95","Sieger 102",IF(D104=E104,"Freilos",IF(E104="Freilos",D104,IF(D104="Freilos",E104,IF(F104&gt;G104,D104,IF(G104&gt;F104,E104,"Sieger 102")))))))</f>
        <v>Sieger 102</v>
      </c>
      <c r="F109" s="79"/>
      <c r="G109" s="80"/>
      <c r="H109" s="95"/>
      <c r="I109" s="95"/>
      <c r="J109" s="95"/>
      <c r="K109" s="96"/>
      <c r="L109" s="217"/>
      <c r="M109" s="92">
        <f>IF(F109&gt;G109,E109,IF(G109&gt;F109,D109,""))</f>
      </c>
      <c r="N109" s="64">
        <f t="shared" si="51"/>
        <v>0</v>
      </c>
      <c r="O109" s="64">
        <f t="shared" si="37"/>
        <v>0</v>
      </c>
      <c r="P109" s="64">
        <f t="shared" si="52"/>
        <v>0</v>
      </c>
      <c r="Q109" s="64">
        <f t="shared" si="53"/>
        <v>0</v>
      </c>
      <c r="R109" s="64">
        <f t="shared" si="54"/>
        <v>0</v>
      </c>
      <c r="S109" s="64">
        <f t="shared" si="55"/>
        <v>0</v>
      </c>
      <c r="T109" s="178">
        <f t="shared" si="41"/>
        <v>0</v>
      </c>
      <c r="U109" s="178">
        <f t="shared" si="42"/>
        <v>0</v>
      </c>
      <c r="V109" s="121">
        <f>IF(Auslosung_Turnierdaten!F50="","",42)</f>
      </c>
      <c r="W109" s="122">
        <f>IF(SP64!V109="","",Auslosung_Turnierdaten!F50)</f>
      </c>
      <c r="X109" s="122">
        <f>IF(SP64!V109="","",Auslosung_Turnierdaten!G50)</f>
      </c>
      <c r="Y109" s="122">
        <f>IF(SP64!V109="","",Auslosung_Turnierdaten!H50)</f>
      </c>
      <c r="Z109" s="122">
        <f>IF(SP64!V109="","",Auslosung_Turnierdaten!I50)</f>
      </c>
      <c r="AA109" s="123">
        <f>IF(SP64!V109="","",SP64!X44)</f>
      </c>
      <c r="AB109" s="123">
        <f>IF(SP64!V109="","",SP64!Z44)</f>
      </c>
      <c r="AC109" s="123">
        <f>IF(SP64!V109="","",SP64!AA44)</f>
      </c>
      <c r="AD109" s="123">
        <f>IF(SP64!V109="","",SP64!AC44)</f>
      </c>
      <c r="AE109" s="123">
        <f>IF(SP64!V109="","",IF($AE$67="VSp",SP64!AD44,SP64!AF44))</f>
      </c>
      <c r="AF109" s="124">
        <f>IF(SP64!V109="","",IF($AF$67="Quot",SP64!AE44,SP64!AG44))</f>
      </c>
      <c r="AG109" s="124">
        <f>IF($AG$67="BED",SP64!AH44,"")</f>
      </c>
      <c r="AH109" s="125">
        <f>IF($AH$67="HS",SP64!AI44,"")</f>
      </c>
      <c r="AM109" s="180"/>
      <c r="AN109" s="181"/>
      <c r="AO109" s="182"/>
      <c r="AP109" s="64">
        <f t="shared" si="43"/>
        <v>0</v>
      </c>
      <c r="AQ109" s="64">
        <f>IF(AND(COUNTIF(L109:L109:$L$129,L109)=1,F109+G109&gt;0),L109&amp;"-","")</f>
      </c>
      <c r="AR109" s="64">
        <f t="shared" si="44"/>
      </c>
      <c r="AS109" s="202"/>
      <c r="AT109" s="202"/>
      <c r="AU109" s="203">
        <f t="shared" si="45"/>
      </c>
    </row>
    <row r="110" spans="3:47" ht="11.25" thickBot="1">
      <c r="C110" s="108">
        <v>108</v>
      </c>
      <c r="D110" s="143" t="str">
        <f>IF(D105="Sieger 87","Sieger 103",IF(E105="Verlierer 94","Sieger 103",IF(D105=E105,"Freilos",IF(E105="Freilos",D105,IF(D105="Freilos",E105,IF(F105&gt;G105,D105,IF(G105&gt;F105,E105,"Sieger 103")))))))</f>
        <v>Sieger 103</v>
      </c>
      <c r="E110" s="144" t="str">
        <f>IF(D106="Sieger 88","Sieger 104",IF(E106="Verlierer 93","Sieger 104",IF(D106=E106,"Freilos",IF(E106="Freilos",D106,IF(D106="Freilos",E106,IF(F106&gt;G106,D106,IF(G106&gt;F106,E106,"Sieger 104")))))))</f>
        <v>Sieger 104</v>
      </c>
      <c r="F110" s="79"/>
      <c r="G110" s="80"/>
      <c r="H110" s="99"/>
      <c r="I110" s="99"/>
      <c r="J110" s="99"/>
      <c r="K110" s="100"/>
      <c r="L110" s="217"/>
      <c r="M110" s="92">
        <f>IF(F110&gt;G110,E110,IF(G110&gt;F110,D110,""))</f>
      </c>
      <c r="N110" s="64">
        <f t="shared" si="51"/>
        <v>0</v>
      </c>
      <c r="O110" s="64">
        <f t="shared" si="37"/>
        <v>0</v>
      </c>
      <c r="P110" s="64">
        <f t="shared" si="52"/>
        <v>0</v>
      </c>
      <c r="Q110" s="64">
        <f t="shared" si="53"/>
        <v>0</v>
      </c>
      <c r="R110" s="64">
        <f t="shared" si="54"/>
        <v>0</v>
      </c>
      <c r="S110" s="64">
        <f t="shared" si="55"/>
        <v>0</v>
      </c>
      <c r="T110" s="178">
        <f t="shared" si="41"/>
        <v>0</v>
      </c>
      <c r="U110" s="178">
        <f t="shared" si="42"/>
        <v>0</v>
      </c>
      <c r="V110" s="121">
        <f>IF(Auslosung_Turnierdaten!F51="","",43)</f>
      </c>
      <c r="W110" s="122">
        <f>IF(SP64!V110="","",Auslosung_Turnierdaten!F51)</f>
      </c>
      <c r="X110" s="122">
        <f>IF(SP64!V110="","",Auslosung_Turnierdaten!G51)</f>
      </c>
      <c r="Y110" s="122">
        <f>IF(SP64!V110="","",Auslosung_Turnierdaten!H51)</f>
      </c>
      <c r="Z110" s="122">
        <f>IF(SP64!V110="","",Auslosung_Turnierdaten!I51)</f>
      </c>
      <c r="AA110" s="123">
        <f>IF(SP64!V110="","",SP64!X45)</f>
      </c>
      <c r="AB110" s="123">
        <f>IF(SP64!V110="","",SP64!Z45)</f>
      </c>
      <c r="AC110" s="123">
        <f>IF(SP64!V110="","",SP64!AA45)</f>
      </c>
      <c r="AD110" s="123">
        <f>IF(SP64!V110="","",SP64!AC45)</f>
      </c>
      <c r="AE110" s="123">
        <f>IF(SP64!V110="","",IF($AE$67="VSp",SP64!AD45,SP64!AF45))</f>
      </c>
      <c r="AF110" s="124">
        <f>IF(SP64!V110="","",IF($AF$67="Quot",SP64!AE45,SP64!AG45))</f>
      </c>
      <c r="AG110" s="124">
        <f>IF($AG$67="BED",SP64!AH45,"")</f>
      </c>
      <c r="AH110" s="125">
        <f>IF($AH$67="HS",SP64!AI45,"")</f>
      </c>
      <c r="AM110" s="180"/>
      <c r="AN110" s="181"/>
      <c r="AO110" s="182"/>
      <c r="AP110" s="64">
        <f t="shared" si="43"/>
        <v>0</v>
      </c>
      <c r="AQ110" s="64">
        <f>IF(AND(COUNTIF(L110:L110:$L$129,L110)=1,F110+G110&gt;0),L110&amp;"-","")</f>
      </c>
      <c r="AR110" s="64">
        <f t="shared" si="44"/>
      </c>
      <c r="AS110" s="202"/>
      <c r="AT110" s="202"/>
      <c r="AU110" s="203">
        <f t="shared" si="45"/>
      </c>
    </row>
    <row r="111" spans="2:47" ht="11.25" thickBot="1">
      <c r="B111" s="101" t="s">
        <v>1072</v>
      </c>
      <c r="C111" s="108">
        <v>109</v>
      </c>
      <c r="D111" s="131" t="str">
        <f>IF(D91="Sieger 49","Sieger 89",IF(E91="Sieger 50","Sieger 89",IF(D91=E91,"Freilos",IF(E91="Freilos",D91,IF(D91="Freilos",E91,IF(F91&gt;G91,D91,IF(G91&gt;F91,E91,"Sieger 89")))))))</f>
        <v>Sieger 89</v>
      </c>
      <c r="E111" s="132" t="str">
        <f>IF(D92="Sieger 51","Sieger 90",IF(E92="Sieger 52","Sieger 90",IF(D92=E92,"Freilos",IF(E92="Freilos",D92,IF(D92="Freilos",E92,IF(F92&gt;G92,D92,IF(G92&gt;F92,E92,"Sieger 90")))))))</f>
        <v>Sieger 90</v>
      </c>
      <c r="F111" s="79"/>
      <c r="G111" s="80"/>
      <c r="H111" s="145"/>
      <c r="I111" s="145"/>
      <c r="J111" s="145"/>
      <c r="K111" s="219"/>
      <c r="L111" s="217"/>
      <c r="N111" s="64">
        <f t="shared" si="51"/>
        <v>0</v>
      </c>
      <c r="O111" s="64">
        <f t="shared" si="37"/>
        <v>0</v>
      </c>
      <c r="P111" s="64">
        <f t="shared" si="52"/>
        <v>0</v>
      </c>
      <c r="Q111" s="64">
        <f t="shared" si="53"/>
        <v>0</v>
      </c>
      <c r="R111" s="64">
        <f t="shared" si="54"/>
        <v>0</v>
      </c>
      <c r="S111" s="64">
        <f t="shared" si="55"/>
        <v>0</v>
      </c>
      <c r="T111" s="178">
        <f>IF(E111="Freilos",6,IF(F111&gt;G111,6,0))</f>
        <v>0</v>
      </c>
      <c r="U111" s="178">
        <f>IF(D111="Freilos",6,IF(G111&gt;F111,6,0))</f>
        <v>0</v>
      </c>
      <c r="V111" s="121">
        <f>IF(Auslosung_Turnierdaten!F52="","",44)</f>
      </c>
      <c r="W111" s="122">
        <f>IF(SP64!V111="","",Auslosung_Turnierdaten!F52)</f>
      </c>
      <c r="X111" s="122">
        <f>IF(SP64!V111="","",Auslosung_Turnierdaten!G52)</f>
      </c>
      <c r="Y111" s="122">
        <f>IF(SP64!V111="","",Auslosung_Turnierdaten!H52)</f>
      </c>
      <c r="Z111" s="122">
        <f>IF(SP64!V111="","",Auslosung_Turnierdaten!I52)</f>
      </c>
      <c r="AA111" s="123">
        <f>IF(SP64!V111="","",SP64!X46)</f>
      </c>
      <c r="AB111" s="123">
        <f>IF(SP64!V111="","",SP64!Z46)</f>
      </c>
      <c r="AC111" s="123">
        <f>IF(SP64!V111="","",SP64!AA46)</f>
      </c>
      <c r="AD111" s="123">
        <f>IF(SP64!V111="","",SP64!AC46)</f>
      </c>
      <c r="AE111" s="123">
        <f>IF(SP64!V111="","",IF($AE$67="VSp",SP64!AD46,SP64!AF46))</f>
      </c>
      <c r="AF111" s="124">
        <f>IF(SP64!V111="","",IF($AF$67="Quot",SP64!AE46,SP64!AG46))</f>
      </c>
      <c r="AG111" s="124">
        <f>IF($AG$67="BED",SP64!AH46,"")</f>
      </c>
      <c r="AH111" s="125">
        <f>IF($AH$67="HS",SP64!AI46,"")</f>
      </c>
      <c r="AM111" s="180"/>
      <c r="AN111" s="181"/>
      <c r="AO111" s="182"/>
      <c r="AP111" s="64">
        <f t="shared" si="43"/>
        <v>0</v>
      </c>
      <c r="AQ111" s="64">
        <f>IF(AND(COUNTIF(L111:L111:$L$129,L111)=1,F111+G111&gt;0),L111&amp;"-","")</f>
      </c>
      <c r="AR111" s="64">
        <f t="shared" si="44"/>
      </c>
      <c r="AS111" s="202"/>
      <c r="AT111" s="202"/>
      <c r="AU111" s="203">
        <f t="shared" si="45"/>
      </c>
    </row>
    <row r="112" spans="3:47" ht="10.5">
      <c r="C112" s="108">
        <v>110</v>
      </c>
      <c r="D112" s="133" t="str">
        <f>IF(D93="Sieger 53","Sieger 91",IF(E93="Sieger 54","Sieger 91",IF(D93=E93,"Freilos",IF(E93="Freilos",D93,IF(D93="Freilos",E93,IF(F93&gt;G93,D93,IF(G93&gt;F93,E93,"Sieger 91")))))))</f>
        <v>Sieger 91</v>
      </c>
      <c r="E112" s="134" t="str">
        <f>IF(D94="Sieger 55","Sieger 92",IF(E94="Sieger 56","Sieger 92",IF(D94=E94,"Freilos",IF(E94="Freilos",D94,IF(D94="Freilos",E94,IF(F94&gt;G94,D94,IF(G94&gt;F94,E94,"Sieger 92")))))))</f>
        <v>Sieger 92</v>
      </c>
      <c r="F112" s="79"/>
      <c r="G112" s="80"/>
      <c r="H112" s="104"/>
      <c r="I112" s="104"/>
      <c r="J112" s="104"/>
      <c r="K112" s="105"/>
      <c r="L112" s="217"/>
      <c r="N112" s="64">
        <f t="shared" si="51"/>
        <v>0</v>
      </c>
      <c r="O112" s="64">
        <f t="shared" si="37"/>
        <v>0</v>
      </c>
      <c r="P112" s="64">
        <f t="shared" si="52"/>
        <v>0</v>
      </c>
      <c r="Q112" s="64">
        <f t="shared" si="53"/>
        <v>0</v>
      </c>
      <c r="R112" s="64">
        <f t="shared" si="54"/>
        <v>0</v>
      </c>
      <c r="S112" s="64">
        <f t="shared" si="55"/>
        <v>0</v>
      </c>
      <c r="T112" s="178">
        <f>IF(E112="Freilos",6,IF(F112&gt;G112,6,0))</f>
        <v>0</v>
      </c>
      <c r="U112" s="178">
        <f>IF(D112="Freilos",6,IF(G112&gt;F112,6,0))</f>
        <v>0</v>
      </c>
      <c r="V112" s="121">
        <f>IF(Auslosung_Turnierdaten!F53="","",45)</f>
      </c>
      <c r="W112" s="122">
        <f>IF(SP64!V112="","",Auslosung_Turnierdaten!F53)</f>
      </c>
      <c r="X112" s="122">
        <f>IF(SP64!V112="","",Auslosung_Turnierdaten!G53)</f>
      </c>
      <c r="Y112" s="122">
        <f>IF(SP64!V112="","",Auslosung_Turnierdaten!H53)</f>
      </c>
      <c r="Z112" s="122">
        <f>IF(SP64!V112="","",Auslosung_Turnierdaten!I53)</f>
      </c>
      <c r="AA112" s="123">
        <f>IF(SP64!V112="","",SP64!X47)</f>
      </c>
      <c r="AB112" s="123">
        <f>IF(SP64!V112="","",SP64!Z47)</f>
      </c>
      <c r="AC112" s="123">
        <f>IF(SP64!V112="","",SP64!AA47)</f>
      </c>
      <c r="AD112" s="123">
        <f>IF(SP64!V112="","",SP64!AC47)</f>
      </c>
      <c r="AE112" s="123">
        <f>IF(SP64!V112="","",IF($AE$67="VSp",SP64!AD47,SP64!AF47))</f>
      </c>
      <c r="AF112" s="124">
        <f>IF(SP64!V112="","",IF($AF$67="Quot",SP64!AE47,SP64!AG47))</f>
      </c>
      <c r="AG112" s="124">
        <f>IF($AG$67="BED",SP64!AH47,"")</f>
      </c>
      <c r="AH112" s="125">
        <f>IF($AH$67="HS",SP64!AI47,"")</f>
      </c>
      <c r="AM112" s="180"/>
      <c r="AN112" s="181"/>
      <c r="AO112" s="182"/>
      <c r="AP112" s="64">
        <f t="shared" si="43"/>
        <v>0</v>
      </c>
      <c r="AQ112" s="64">
        <f>IF(AND(COUNTIF(L112:L112:$L$129,L112)=1,F112+G112&gt;0),L112&amp;"-","")</f>
      </c>
      <c r="AR112" s="64">
        <f t="shared" si="44"/>
      </c>
      <c r="AS112" s="202"/>
      <c r="AT112" s="202"/>
      <c r="AU112" s="203">
        <f t="shared" si="45"/>
      </c>
    </row>
    <row r="113" spans="3:47" ht="10.5">
      <c r="C113" s="108">
        <v>111</v>
      </c>
      <c r="D113" s="133" t="str">
        <f>IF(D95="Sieger 57","Sieger 93",IF(E95="Sieger 58","Sieger 93",IF(D95=E95,"Freilos",IF(E95="Freilos",D95,IF(D95="Freilos",E95,IF(F95&gt;G95,D95,IF(G95&gt;F95,E95,"Sieger 93")))))))</f>
        <v>Sieger 93</v>
      </c>
      <c r="E113" s="134" t="str">
        <f>IF(D96="Sieger 59","Sieger 94",IF(E96="Sieger 60","Sieger 94",IF(D96=E96,"Freilos",IF(E96="Freilos",D96,IF(D96="Freilos",E96,IF(F96&gt;G96,D96,IF(G96&gt;F96,E96,"Sieger 94")))))))</f>
        <v>Sieger 94</v>
      </c>
      <c r="F113" s="79"/>
      <c r="G113" s="80"/>
      <c r="H113" s="104"/>
      <c r="I113" s="104"/>
      <c r="J113" s="104"/>
      <c r="K113" s="105"/>
      <c r="L113" s="217"/>
      <c r="N113" s="64">
        <f t="shared" si="51"/>
        <v>0</v>
      </c>
      <c r="O113" s="64">
        <f t="shared" si="37"/>
        <v>0</v>
      </c>
      <c r="P113" s="64">
        <f t="shared" si="52"/>
        <v>0</v>
      </c>
      <c r="Q113" s="64">
        <f t="shared" si="53"/>
        <v>0</v>
      </c>
      <c r="R113" s="64">
        <f t="shared" si="54"/>
        <v>0</v>
      </c>
      <c r="S113" s="64">
        <f t="shared" si="55"/>
        <v>0</v>
      </c>
      <c r="T113" s="178">
        <f>IF(E113="Freilos",6,IF(F113&gt;G113,6,0))</f>
        <v>0</v>
      </c>
      <c r="U113" s="178">
        <f>IF(D113="Freilos",6,IF(G113&gt;F113,6,0))</f>
        <v>0</v>
      </c>
      <c r="V113" s="121">
        <f>IF(Auslosung_Turnierdaten!F54="","",46)</f>
      </c>
      <c r="W113" s="122">
        <f>IF(SP64!V113="","",Auslosung_Turnierdaten!F54)</f>
      </c>
      <c r="X113" s="122">
        <f>IF(SP64!V113="","",Auslosung_Turnierdaten!G54)</f>
      </c>
      <c r="Y113" s="122">
        <f>IF(SP64!V113="","",Auslosung_Turnierdaten!H54)</f>
      </c>
      <c r="Z113" s="122">
        <f>IF(SP64!V113="","",Auslosung_Turnierdaten!I54)</f>
      </c>
      <c r="AA113" s="123">
        <f>IF(SP64!V113="","",SP64!X48)</f>
      </c>
      <c r="AB113" s="123">
        <f>IF(SP64!V113="","",SP64!Z48)</f>
      </c>
      <c r="AC113" s="123">
        <f>IF(SP64!V113="","",SP64!AA48)</f>
      </c>
      <c r="AD113" s="123">
        <f>IF(SP64!V113="","",SP64!AC48)</f>
      </c>
      <c r="AE113" s="123">
        <f>IF(SP64!V113="","",IF($AE$67="VSp",SP64!AD48,SP64!AF48))</f>
      </c>
      <c r="AF113" s="124">
        <f>IF(SP64!V113="","",IF($AF$67="Quot",SP64!AE48,SP64!AG48))</f>
      </c>
      <c r="AG113" s="124">
        <f>IF($AG$67="BED",SP64!AH48,"")</f>
      </c>
      <c r="AH113" s="125">
        <f>IF($AH$67="HS",SP64!AI48,"")</f>
      </c>
      <c r="AM113" s="180"/>
      <c r="AN113" s="181"/>
      <c r="AO113" s="182"/>
      <c r="AP113" s="64">
        <f t="shared" si="43"/>
        <v>0</v>
      </c>
      <c r="AQ113" s="64">
        <f>IF(AND(COUNTIF(L113:L113:$L$129,L113)=1,F113+G113&gt;0),L113&amp;"-","")</f>
      </c>
      <c r="AR113" s="64">
        <f t="shared" si="44"/>
      </c>
      <c r="AS113" s="202"/>
      <c r="AT113" s="202"/>
      <c r="AU113" s="203">
        <f t="shared" si="45"/>
      </c>
    </row>
    <row r="114" spans="3:47" ht="11.25" thickBot="1">
      <c r="C114" s="108">
        <v>112</v>
      </c>
      <c r="D114" s="146" t="str">
        <f>IF(D97="Sieger 61","Sieger 95",IF(E97="Sieger 62","Sieger 95",IF(D97=E97,"Freilos",IF(E97="Freilos",D97,IF(D97="Freilos",E97,IF(F97&gt;G97,D97,IF(G97&gt;F97,E97,"Sieger 95")))))))</f>
        <v>Sieger 95</v>
      </c>
      <c r="E114" s="147" t="str">
        <f>IF(D98="Sieger 63","Sieger 96",IF(E98="Sieger 64","Sieger 96",IF(D98=E98,"Freilos",IF(E98="Freilos",D98,IF(D98="Freilos",E98,IF(F98&gt;G98,D98,IF(G98&gt;F98,E98,"Sieger 96")))))))</f>
        <v>Sieger 96</v>
      </c>
      <c r="F114" s="79"/>
      <c r="G114" s="80"/>
      <c r="H114" s="106"/>
      <c r="I114" s="106"/>
      <c r="J114" s="106"/>
      <c r="K114" s="107"/>
      <c r="L114" s="217"/>
      <c r="N114" s="64">
        <f t="shared" si="51"/>
        <v>0</v>
      </c>
      <c r="O114" s="64">
        <f t="shared" si="37"/>
        <v>0</v>
      </c>
      <c r="P114" s="64">
        <f t="shared" si="52"/>
        <v>0</v>
      </c>
      <c r="Q114" s="64">
        <f t="shared" si="53"/>
        <v>0</v>
      </c>
      <c r="R114" s="64">
        <f t="shared" si="54"/>
        <v>0</v>
      </c>
      <c r="S114" s="64">
        <f t="shared" si="55"/>
        <v>0</v>
      </c>
      <c r="T114" s="178">
        <f>IF(E114="Freilos",6,IF(F114&gt;G114,6,0))</f>
        <v>0</v>
      </c>
      <c r="U114" s="178">
        <f>IF(D114="Freilos",6,IF(G114&gt;F114,6,0))</f>
        <v>0</v>
      </c>
      <c r="V114" s="121">
        <f>IF(Auslosung_Turnierdaten!F55="","",47)</f>
      </c>
      <c r="W114" s="122">
        <f>IF(SP64!V114="","",Auslosung_Turnierdaten!F55)</f>
      </c>
      <c r="X114" s="122">
        <f>IF(SP64!V114="","",Auslosung_Turnierdaten!G55)</f>
      </c>
      <c r="Y114" s="122">
        <f>IF(SP64!V114="","",Auslosung_Turnierdaten!H55)</f>
      </c>
      <c r="Z114" s="122">
        <f>IF(SP64!V114="","",Auslosung_Turnierdaten!I55)</f>
      </c>
      <c r="AA114" s="123">
        <f>IF(SP64!V114="","",SP64!X49)</f>
      </c>
      <c r="AB114" s="123">
        <f>IF(SP64!V114="","",SP64!Z49)</f>
      </c>
      <c r="AC114" s="123">
        <f>IF(SP64!V114="","",SP64!AA49)</f>
      </c>
      <c r="AD114" s="123">
        <f>IF(SP64!V114="","",SP64!AC49)</f>
      </c>
      <c r="AE114" s="123">
        <f>IF(SP64!V114="","",IF($AE$67="VSp",SP64!AD49,SP64!AF49))</f>
      </c>
      <c r="AF114" s="124">
        <f>IF(SP64!V114="","",IF($AF$67="Quot",SP64!AE49,SP64!AG49))</f>
      </c>
      <c r="AG114" s="124">
        <f>IF($AG$67="BED",SP64!AH49,"")</f>
      </c>
      <c r="AH114" s="125">
        <f>IF($AH$67="HS",SP64!AI49,"")</f>
      </c>
      <c r="AM114" s="180"/>
      <c r="AN114" s="181"/>
      <c r="AO114" s="182"/>
      <c r="AP114" s="64">
        <f t="shared" si="43"/>
        <v>0</v>
      </c>
      <c r="AQ114" s="64">
        <f>IF(AND(COUNTIF(L114:L114:$L$129,L114)=1,F114+G114&gt;0),L114&amp;"-","")</f>
      </c>
      <c r="AR114" s="64">
        <f t="shared" si="44"/>
      </c>
      <c r="AS114" s="202"/>
      <c r="AT114" s="202"/>
      <c r="AU114" s="203">
        <f t="shared" si="45"/>
      </c>
    </row>
    <row r="115" spans="2:47" ht="11.25" thickBot="1">
      <c r="B115" s="87" t="s">
        <v>1068</v>
      </c>
      <c r="C115" s="108">
        <v>113</v>
      </c>
      <c r="D115" s="109" t="str">
        <f>IF(D107="Sieger 97","Sieger 105",IF(E107="Sieger 98","Sieger 105",IF(D107=E107,"Freilos",IF(E107="Freilos",D107,IF(D107="Freilos",E107,IF(F107&gt;G107,D107,IF(G107&gt;F107,E107,"Sieger 105")))))))</f>
        <v>Sieger 105</v>
      </c>
      <c r="E115" s="141" t="str">
        <f>IF(D113="Sieger 93","Verlierer 111",IF(E113="Sieger 94","Verlierer 111",IF(D113=E113,"Freilos",IF(E113="Freilos",E113,IF(D113="Freilos",D113,IF(F113&gt;G113,E113,IF(G113&gt;F113,D113,"Verlierer 111")))))))</f>
        <v>Verlierer 111</v>
      </c>
      <c r="F115" s="79"/>
      <c r="G115" s="80"/>
      <c r="H115" s="90"/>
      <c r="I115" s="90"/>
      <c r="J115" s="90"/>
      <c r="K115" s="91"/>
      <c r="L115" s="217"/>
      <c r="M115" s="92">
        <f aca="true" t="shared" si="56" ref="M115:M120">IF(F115&gt;G115,E115,IF(G115&gt;F115,D115,""))</f>
      </c>
      <c r="N115" s="64">
        <f t="shared" si="51"/>
        <v>0</v>
      </c>
      <c r="O115" s="64">
        <f t="shared" si="37"/>
        <v>0</v>
      </c>
      <c r="P115" s="64">
        <f t="shared" si="52"/>
        <v>0</v>
      </c>
      <c r="Q115" s="64">
        <f t="shared" si="53"/>
        <v>0</v>
      </c>
      <c r="R115" s="64">
        <f t="shared" si="54"/>
        <v>0</v>
      </c>
      <c r="S115" s="64">
        <f t="shared" si="55"/>
        <v>0</v>
      </c>
      <c r="T115" s="178">
        <f t="shared" si="41"/>
        <v>0</v>
      </c>
      <c r="U115" s="178">
        <f t="shared" si="42"/>
        <v>0</v>
      </c>
      <c r="V115" s="121">
        <f>IF(Auslosung_Turnierdaten!F56="","",48)</f>
      </c>
      <c r="W115" s="122">
        <f>IF(SP64!V115="","",Auslosung_Turnierdaten!F56)</f>
      </c>
      <c r="X115" s="122">
        <f>IF(SP64!V115="","",Auslosung_Turnierdaten!G56)</f>
      </c>
      <c r="Y115" s="122">
        <f>IF(SP64!V115="","",Auslosung_Turnierdaten!H56)</f>
      </c>
      <c r="Z115" s="122">
        <f>IF(SP64!V115="","",Auslosung_Turnierdaten!I56)</f>
      </c>
      <c r="AA115" s="123">
        <f>IF(SP64!V115="","",SP64!X50)</f>
      </c>
      <c r="AB115" s="123">
        <f>IF(SP64!V115="","",SP64!Z50)</f>
      </c>
      <c r="AC115" s="123">
        <f>IF(SP64!V115="","",SP64!AA50)</f>
      </c>
      <c r="AD115" s="123">
        <f>IF(SP64!V115="","",SP64!AC50)</f>
      </c>
      <c r="AE115" s="123">
        <f>IF(SP64!V115="","",IF($AE$67="VSp",SP64!AD50,SP64!AF50))</f>
      </c>
      <c r="AF115" s="124">
        <f>IF(SP64!V115="","",IF($AF$67="Quot",SP64!AE50,SP64!AG50))</f>
      </c>
      <c r="AG115" s="124">
        <f>IF($AG$67="BED",SP64!AH50,"")</f>
      </c>
      <c r="AH115" s="125">
        <f>IF($AH$67="HS",SP64!AI50,"")</f>
      </c>
      <c r="AM115" s="180"/>
      <c r="AN115" s="181"/>
      <c r="AO115" s="182"/>
      <c r="AP115" s="64">
        <f t="shared" si="43"/>
        <v>0</v>
      </c>
      <c r="AQ115" s="64">
        <f>IF(AND(COUNTIF(L115:L115:$L$129,L115)=1,F115+G115&gt;0),L115&amp;"-","")</f>
      </c>
      <c r="AR115" s="64">
        <f t="shared" si="44"/>
      </c>
      <c r="AS115" s="202"/>
      <c r="AT115" s="202"/>
      <c r="AU115" s="203">
        <f t="shared" si="45"/>
      </c>
    </row>
    <row r="116" spans="3:47" ht="10.5">
      <c r="C116" s="108">
        <v>114</v>
      </c>
      <c r="D116" s="116" t="str">
        <f>IF(D108="Sieger 99","Sieger 106",IF(E108="Sieger 100","Sieger 106",IF(D108=E108,"Freilos",IF(E108="Freilos",D108,IF(D108="Freilos",E108,IF(F108&gt;G108,D108,IF(G108&gt;F108,E108,"Sieger 106")))))))</f>
        <v>Sieger 106</v>
      </c>
      <c r="E116" s="142" t="str">
        <f>IF(D114="Sieger 95","Verlierer 112",IF(E114="Sieger 96","Verlierer 112",IF(D114=E114,"Freilos",IF(E114="Freilos",E114,IF(D114="Freilos",D114,IF(F114&gt;G114,E114,IF(G114&gt;F114,D114,"Verlierer 112")))))))</f>
        <v>Verlierer 112</v>
      </c>
      <c r="F116" s="79"/>
      <c r="G116" s="80"/>
      <c r="H116" s="95"/>
      <c r="I116" s="95"/>
      <c r="J116" s="95"/>
      <c r="K116" s="96"/>
      <c r="L116" s="217"/>
      <c r="M116" s="92">
        <f t="shared" si="56"/>
      </c>
      <c r="N116" s="64">
        <f t="shared" si="51"/>
        <v>0</v>
      </c>
      <c r="O116" s="64">
        <f t="shared" si="37"/>
        <v>0</v>
      </c>
      <c r="P116" s="64">
        <f t="shared" si="52"/>
        <v>0</v>
      </c>
      <c r="Q116" s="64">
        <f t="shared" si="53"/>
        <v>0</v>
      </c>
      <c r="R116" s="64">
        <f t="shared" si="54"/>
        <v>0</v>
      </c>
      <c r="S116" s="64">
        <f t="shared" si="55"/>
        <v>0</v>
      </c>
      <c r="T116" s="178">
        <f t="shared" si="41"/>
        <v>0</v>
      </c>
      <c r="U116" s="178">
        <f t="shared" si="42"/>
        <v>0</v>
      </c>
      <c r="V116" s="121">
        <f>IF(Auslosung_Turnierdaten!F57="","",49)</f>
      </c>
      <c r="W116" s="122">
        <f>IF(SP64!V116="","",Auslosung_Turnierdaten!F57)</f>
      </c>
      <c r="X116" s="122">
        <f>IF(SP64!V116="","",Auslosung_Turnierdaten!G57)</f>
      </c>
      <c r="Y116" s="122">
        <f>IF(SP64!V116="","",Auslosung_Turnierdaten!H57)</f>
      </c>
      <c r="Z116" s="122">
        <f>IF(SP64!V116="","",Auslosung_Turnierdaten!I57)</f>
      </c>
      <c r="AA116" s="123">
        <f>IF(SP64!V116="","",SP64!X51)</f>
      </c>
      <c r="AB116" s="123">
        <f>IF(SP64!V116="","",SP64!Z51)</f>
      </c>
      <c r="AC116" s="123">
        <f>IF(SP64!V116="","",SP64!AA51)</f>
      </c>
      <c r="AD116" s="123">
        <f>IF(SP64!V116="","",SP64!AC51)</f>
      </c>
      <c r="AE116" s="123">
        <f>IF(SP64!V116="","",IF($AE$67="VSp",SP64!AD51,SP64!AF51))</f>
      </c>
      <c r="AF116" s="124">
        <f>IF(SP64!V116="","",IF($AF$67="Quot",SP64!AE51,SP64!AG51))</f>
      </c>
      <c r="AG116" s="124">
        <f>IF($AG$67="BED",SP64!AH51,"")</f>
      </c>
      <c r="AH116" s="125">
        <f>IF($AH$67="HS",SP64!AI51,"")</f>
      </c>
      <c r="AM116" s="180"/>
      <c r="AN116" s="181"/>
      <c r="AO116" s="182"/>
      <c r="AP116" s="64">
        <f t="shared" si="43"/>
        <v>0</v>
      </c>
      <c r="AQ116" s="64">
        <f>IF(AND(COUNTIF(L116:L116:$L$129,L116)=1,F116+G116&gt;0),L116&amp;"-","")</f>
      </c>
      <c r="AR116" s="64">
        <f t="shared" si="44"/>
      </c>
      <c r="AS116" s="202"/>
      <c r="AT116" s="202"/>
      <c r="AU116" s="203">
        <f t="shared" si="45"/>
      </c>
    </row>
    <row r="117" spans="3:47" ht="10.5">
      <c r="C117" s="108">
        <v>115</v>
      </c>
      <c r="D117" s="116" t="str">
        <f>IF(D109="Sieger 101","Sieger 107",IF(E109="Sieger 102","Sieger 107",IF(D109=E109,"Freilos",IF(E109="Freilos",D109,IF(D109="Freilos",E109,IF(F109&gt;G109,D109,IF(G109&gt;F109,E109,"Sieger 107")))))))</f>
        <v>Sieger 107</v>
      </c>
      <c r="E117" s="142" t="str">
        <f>IF(D111="Sieger 89","Verlierer 109",IF(E111="Sieger 90","Verlierer 109",IF(D111=E111,"Freilos",IF(E111="Freilos",E111,IF(D111="Freilos",D111,IF(F111&gt;G111,E111,IF(G111&gt;F111,D111,"Verlierer 109")))))))</f>
        <v>Verlierer 109</v>
      </c>
      <c r="F117" s="79"/>
      <c r="G117" s="80"/>
      <c r="H117" s="95"/>
      <c r="I117" s="95"/>
      <c r="J117" s="95"/>
      <c r="K117" s="96"/>
      <c r="L117" s="217"/>
      <c r="M117" s="92">
        <f t="shared" si="56"/>
      </c>
      <c r="N117" s="64">
        <f t="shared" si="51"/>
        <v>0</v>
      </c>
      <c r="O117" s="64">
        <f t="shared" si="37"/>
        <v>0</v>
      </c>
      <c r="P117" s="64">
        <f t="shared" si="52"/>
        <v>0</v>
      </c>
      <c r="Q117" s="64">
        <f t="shared" si="53"/>
        <v>0</v>
      </c>
      <c r="R117" s="64">
        <f t="shared" si="54"/>
        <v>0</v>
      </c>
      <c r="S117" s="64">
        <f t="shared" si="55"/>
        <v>0</v>
      </c>
      <c r="T117" s="178">
        <f t="shared" si="41"/>
        <v>0</v>
      </c>
      <c r="U117" s="178">
        <f t="shared" si="42"/>
        <v>0</v>
      </c>
      <c r="V117" s="121">
        <f>IF(Auslosung_Turnierdaten!F58="","",50)</f>
      </c>
      <c r="W117" s="122">
        <f>IF(SP64!V117="","",Auslosung_Turnierdaten!F58)</f>
      </c>
      <c r="X117" s="122">
        <f>IF(SP64!V117="","",Auslosung_Turnierdaten!G58)</f>
      </c>
      <c r="Y117" s="122">
        <f>IF(SP64!V117="","",Auslosung_Turnierdaten!H58)</f>
      </c>
      <c r="Z117" s="122">
        <f>IF(SP64!V117="","",Auslosung_Turnierdaten!I58)</f>
      </c>
      <c r="AA117" s="123">
        <f>IF(SP64!V117="","",SP64!X52)</f>
      </c>
      <c r="AB117" s="123">
        <f>IF(SP64!V117="","",SP64!Z52)</f>
      </c>
      <c r="AC117" s="123">
        <f>IF(SP64!V117="","",SP64!AA52)</f>
      </c>
      <c r="AD117" s="123">
        <f>IF(SP64!V117="","",SP64!AC52)</f>
      </c>
      <c r="AE117" s="123">
        <f>IF(SP64!V117="","",IF($AE$67="VSp",SP64!AD52,SP64!AF52))</f>
      </c>
      <c r="AF117" s="124">
        <f>IF(SP64!V117="","",IF($AF$67="Quot",SP64!AE52,SP64!AG52))</f>
      </c>
      <c r="AG117" s="124">
        <f>IF($AG$67="BED",SP64!AH52,"")</f>
      </c>
      <c r="AH117" s="125">
        <f>IF($AH$67="HS",SP64!AI52,"")</f>
      </c>
      <c r="AM117" s="180"/>
      <c r="AN117" s="181"/>
      <c r="AO117" s="182"/>
      <c r="AP117" s="64">
        <f t="shared" si="43"/>
        <v>0</v>
      </c>
      <c r="AQ117" s="64">
        <f>IF(AND(COUNTIF(L117:L117:$L$129,L117)=1,F117+G117&gt;0),L117&amp;"-","")</f>
      </c>
      <c r="AR117" s="64">
        <f t="shared" si="44"/>
      </c>
      <c r="AS117" s="202"/>
      <c r="AT117" s="202"/>
      <c r="AU117" s="203">
        <f t="shared" si="45"/>
      </c>
    </row>
    <row r="118" spans="3:47" ht="11.25" thickBot="1">
      <c r="C118" s="108">
        <v>116</v>
      </c>
      <c r="D118" s="126" t="str">
        <f>IF(D110="Sieger 103","Sieger 108",IF(E110="Sieger 104","Sieger 108",IF(D110=E110,"Freilos",IF(E110="Freilos",D110,IF(D110="Freilos",E110,IF(F110&gt;G110,D110,IF(G110&gt;F110,E110,"Sieger 108")))))))</f>
        <v>Sieger 108</v>
      </c>
      <c r="E118" s="148" t="str">
        <f>IF(D112="Sieger 91","Verlierer 110",IF(E112="Sieger 92","Verlierer 110",IF(D112=E112,"Freilos",IF(E112="Freilos",E112,IF(D112="Freilos",D112,IF(F112&gt;G112,E112,IF(G112&gt;F112,D112,"Verlierer 110")))))))</f>
        <v>Verlierer 110</v>
      </c>
      <c r="F118" s="79"/>
      <c r="G118" s="80"/>
      <c r="H118" s="99"/>
      <c r="I118" s="99"/>
      <c r="J118" s="99"/>
      <c r="K118" s="100"/>
      <c r="L118" s="217"/>
      <c r="M118" s="92">
        <f t="shared" si="56"/>
      </c>
      <c r="N118" s="64">
        <f t="shared" si="51"/>
        <v>0</v>
      </c>
      <c r="O118" s="64">
        <f t="shared" si="37"/>
        <v>0</v>
      </c>
      <c r="P118" s="64">
        <f t="shared" si="52"/>
        <v>0</v>
      </c>
      <c r="Q118" s="64">
        <f t="shared" si="53"/>
        <v>0</v>
      </c>
      <c r="R118" s="64">
        <f t="shared" si="54"/>
        <v>0</v>
      </c>
      <c r="S118" s="64">
        <f t="shared" si="55"/>
        <v>0</v>
      </c>
      <c r="T118" s="178">
        <f t="shared" si="41"/>
        <v>0</v>
      </c>
      <c r="U118" s="178">
        <f t="shared" si="42"/>
        <v>0</v>
      </c>
      <c r="V118" s="121">
        <f>IF(Auslosung_Turnierdaten!F59="","",51)</f>
      </c>
      <c r="W118" s="122">
        <f>IF(SP64!V118="","",Auslosung_Turnierdaten!F59)</f>
      </c>
      <c r="X118" s="122">
        <f>IF(SP64!V118="","",Auslosung_Turnierdaten!G59)</f>
      </c>
      <c r="Y118" s="122">
        <f>IF(SP64!V118="","",Auslosung_Turnierdaten!H59)</f>
      </c>
      <c r="Z118" s="122">
        <f>IF(SP64!V118="","",Auslosung_Turnierdaten!I59)</f>
      </c>
      <c r="AA118" s="123">
        <f>IF(SP64!V118="","",SP64!X53)</f>
      </c>
      <c r="AB118" s="123">
        <f>IF(SP64!V118="","",SP64!Z53)</f>
      </c>
      <c r="AC118" s="123">
        <f>IF(SP64!V118="","",SP64!AA53)</f>
      </c>
      <c r="AD118" s="123">
        <f>IF(SP64!V118="","",SP64!AC53)</f>
      </c>
      <c r="AE118" s="123">
        <f>IF(SP64!V118="","",IF($AE$67="VSp",SP64!AD53,SP64!AF53))</f>
      </c>
      <c r="AF118" s="124">
        <f>IF(SP64!V118="","",IF($AF$67="Quot",SP64!AE53,SP64!AG53))</f>
      </c>
      <c r="AG118" s="124">
        <f>IF($AG$67="BED",SP64!AH53,"")</f>
      </c>
      <c r="AH118" s="125">
        <f>IF($AH$67="HS",SP64!AI53,"")</f>
      </c>
      <c r="AM118" s="180"/>
      <c r="AN118" s="181"/>
      <c r="AO118" s="182"/>
      <c r="AP118" s="64">
        <f t="shared" si="43"/>
        <v>0</v>
      </c>
      <c r="AQ118" s="64">
        <f>IF(AND(COUNTIF(L118:L118:$L$129,L118)=1,F118+G118&gt;0),L118&amp;"-","")</f>
      </c>
      <c r="AR118" s="64">
        <f t="shared" si="44"/>
      </c>
      <c r="AS118" s="202"/>
      <c r="AT118" s="202"/>
      <c r="AU118" s="203">
        <f t="shared" si="45"/>
      </c>
    </row>
    <row r="119" spans="2:47" ht="11.25" thickBot="1">
      <c r="B119" s="87" t="s">
        <v>1080</v>
      </c>
      <c r="C119" s="108">
        <v>117</v>
      </c>
      <c r="D119" s="127" t="str">
        <f>IF(D115="Sieger 105","Sieger 113",IF(E115="Verlierer 111","Sieger 113",IF(D115=E115,"Freilos",IF(E115="Freilos",D115,IF(D115="Freilos",E115,IF(F115&gt;G115,D115,IF(G115&gt;F115,E115,"Sieger 113")))))))</f>
        <v>Sieger 113</v>
      </c>
      <c r="E119" s="128" t="str">
        <f>IF(D116="Sieger 106","Sieger 114",IF(E116="Verlierer 112","Sieger 114",IF(D116=E116,"Freilos",IF(E116="Freilos",D116,IF(D116="Freilos",E116,IF(F116&gt;G116,D116,IF(G116&gt;F116,E116,"Sieger 114")))))))</f>
        <v>Sieger 114</v>
      </c>
      <c r="F119" s="79"/>
      <c r="G119" s="80"/>
      <c r="H119" s="90"/>
      <c r="I119" s="90"/>
      <c r="J119" s="90"/>
      <c r="K119" s="91"/>
      <c r="L119" s="217"/>
      <c r="M119" s="92">
        <f t="shared" si="56"/>
      </c>
      <c r="N119" s="64">
        <f t="shared" si="36"/>
        <v>0</v>
      </c>
      <c r="O119" s="64">
        <f t="shared" si="37"/>
        <v>0</v>
      </c>
      <c r="P119" s="64">
        <f t="shared" si="38"/>
        <v>0</v>
      </c>
      <c r="Q119" s="64">
        <f t="shared" si="46"/>
        <v>0</v>
      </c>
      <c r="R119" s="64">
        <f t="shared" si="39"/>
        <v>0</v>
      </c>
      <c r="S119" s="64">
        <f t="shared" si="40"/>
        <v>0</v>
      </c>
      <c r="T119" s="178">
        <f t="shared" si="41"/>
        <v>0</v>
      </c>
      <c r="U119" s="178">
        <f t="shared" si="42"/>
        <v>0</v>
      </c>
      <c r="V119" s="121">
        <f>IF(Auslosung_Turnierdaten!F60="","",52)</f>
      </c>
      <c r="W119" s="122">
        <f>IF(SP64!V119="","",Auslosung_Turnierdaten!F60)</f>
      </c>
      <c r="X119" s="122">
        <f>IF(SP64!V119="","",Auslosung_Turnierdaten!G60)</f>
      </c>
      <c r="Y119" s="122">
        <f>IF(SP64!V119="","",Auslosung_Turnierdaten!H60)</f>
      </c>
      <c r="Z119" s="122">
        <f>IF(SP64!V119="","",Auslosung_Turnierdaten!I60)</f>
      </c>
      <c r="AA119" s="123">
        <f>IF(SP64!V119="","",SP64!X54)</f>
      </c>
      <c r="AB119" s="123">
        <f>IF(SP64!V119="","",SP64!Z54)</f>
      </c>
      <c r="AC119" s="123">
        <f>IF(SP64!V119="","",SP64!AA54)</f>
      </c>
      <c r="AD119" s="123">
        <f>IF(SP64!V119="","",SP64!AC54)</f>
      </c>
      <c r="AE119" s="123">
        <f>IF(SP64!V119="","",IF($AE$67="VSp",SP64!AD54,SP64!AF54))</f>
      </c>
      <c r="AF119" s="124">
        <f>IF(SP64!V119="","",IF($AF$67="Quot",SP64!AE54,SP64!AG54))</f>
      </c>
      <c r="AG119" s="124">
        <f>IF($AG$67="BED",SP64!AH54,"")</f>
      </c>
      <c r="AH119" s="125">
        <f>IF($AH$67="HS",SP64!AI54,"")</f>
      </c>
      <c r="AM119" s="180"/>
      <c r="AN119" s="181"/>
      <c r="AO119" s="182"/>
      <c r="AP119" s="64">
        <f t="shared" si="43"/>
        <v>0</v>
      </c>
      <c r="AQ119" s="64">
        <f>IF(AND(COUNTIF(L119:L119:$L$129,L119)=1,F119+G119&gt;0),L119&amp;"-","")</f>
      </c>
      <c r="AR119" s="64">
        <f t="shared" si="44"/>
      </c>
      <c r="AS119" s="202"/>
      <c r="AT119" s="202"/>
      <c r="AU119" s="203">
        <f t="shared" si="45"/>
      </c>
    </row>
    <row r="120" spans="3:47" ht="11.25" thickBot="1">
      <c r="C120" s="108">
        <v>118</v>
      </c>
      <c r="D120" s="126" t="str">
        <f>IF(D117="Sieger 107","Sieger 115",IF(E117="Verlierer 109","Sieger 115",IF(D117=E118,"Freilos",IF(E118="Freilos",D117,IF(D117="Freilos",E117,IF(F117&gt;G117,D117,IF(G117&gt;F117,E117,"Sieger 115")))))))</f>
        <v>Sieger 115</v>
      </c>
      <c r="E120" s="148" t="str">
        <f>IF(D118="Sieger 108","Sieger 116",IF(E118="Verlierer 110","Sieger 116",IF(D118=E118,"Freilos",IF(E118="Freilos",D118,IF(D118="Freilos",E118,IF(F118&gt;G118,D118,IF(G118&gt;F118,E118,"Sieger 116")))))))</f>
        <v>Sieger 116</v>
      </c>
      <c r="F120" s="79"/>
      <c r="G120" s="80"/>
      <c r="H120" s="99"/>
      <c r="I120" s="99"/>
      <c r="J120" s="99"/>
      <c r="K120" s="100"/>
      <c r="L120" s="217"/>
      <c r="M120" s="92">
        <f t="shared" si="56"/>
      </c>
      <c r="N120" s="64">
        <f t="shared" si="36"/>
        <v>0</v>
      </c>
      <c r="O120" s="64">
        <f t="shared" si="37"/>
        <v>0</v>
      </c>
      <c r="P120" s="64">
        <f t="shared" si="38"/>
        <v>0</v>
      </c>
      <c r="Q120" s="64">
        <f t="shared" si="46"/>
        <v>0</v>
      </c>
      <c r="R120" s="64">
        <f t="shared" si="39"/>
        <v>0</v>
      </c>
      <c r="S120" s="64">
        <f t="shared" si="40"/>
        <v>0</v>
      </c>
      <c r="T120" s="178">
        <f t="shared" si="41"/>
        <v>0</v>
      </c>
      <c r="U120" s="178">
        <f t="shared" si="42"/>
        <v>0</v>
      </c>
      <c r="V120" s="121">
        <f>IF(Auslosung_Turnierdaten!F61="","",53)</f>
      </c>
      <c r="W120" s="122">
        <f>IF(SP64!V120="","",Auslosung_Turnierdaten!F61)</f>
      </c>
      <c r="X120" s="122">
        <f>IF(SP64!V120="","",Auslosung_Turnierdaten!G61)</f>
      </c>
      <c r="Y120" s="122">
        <f>IF(SP64!V120="","",Auslosung_Turnierdaten!H61)</f>
      </c>
      <c r="Z120" s="122">
        <f>IF(SP64!V120="","",Auslosung_Turnierdaten!I61)</f>
      </c>
      <c r="AA120" s="123">
        <f>IF(SP64!V120="","",SP64!X55)</f>
      </c>
      <c r="AB120" s="123">
        <f>IF(SP64!V120="","",SP64!Z55)</f>
      </c>
      <c r="AC120" s="123">
        <f>IF(SP64!V120="","",SP64!AA55)</f>
      </c>
      <c r="AD120" s="123">
        <f>IF(SP64!V120="","",SP64!AC55)</f>
      </c>
      <c r="AE120" s="123">
        <f>IF(SP64!V120="","",IF($AE$67="VSp",SP64!AD55,SP64!AF55))</f>
      </c>
      <c r="AF120" s="124">
        <f>IF(SP64!V120="","",IF($AF$67="Quot",SP64!AE55,SP64!AG55))</f>
      </c>
      <c r="AG120" s="124">
        <f>IF($AG$67="BED",SP64!AH55,"")</f>
      </c>
      <c r="AH120" s="125">
        <f>IF($AH$67="HS",SP64!AI55,"")</f>
      </c>
      <c r="AM120" s="180"/>
      <c r="AN120" s="181"/>
      <c r="AO120" s="182"/>
      <c r="AP120" s="64">
        <f t="shared" si="43"/>
        <v>0</v>
      </c>
      <c r="AQ120" s="64">
        <f>IF(AND(COUNTIF(L120:L120:$L$129,L120)=1,F120+G120&gt;0),L120&amp;"-","")</f>
      </c>
      <c r="AR120" s="64">
        <f t="shared" si="44"/>
      </c>
      <c r="AS120" s="202"/>
      <c r="AT120" s="202"/>
      <c r="AU120" s="203">
        <f t="shared" si="45"/>
      </c>
    </row>
    <row r="121" spans="2:47" ht="11.25" thickBot="1">
      <c r="B121" s="101" t="s">
        <v>1082</v>
      </c>
      <c r="C121" s="108">
        <v>119</v>
      </c>
      <c r="D121" s="131" t="str">
        <f>IF(D111="Sieger 89","Sieger 109",IF(E111="Sieger 90","Sieger 109",IF(D111=E111,"Freilos",IF(E111="Freilos",D111,IF(D111="Freilos",E111,IF(F111&gt;G111,D111,IF(G111&gt;F111,E111,"Sieger 109")))))))</f>
        <v>Sieger 109</v>
      </c>
      <c r="E121" s="132" t="str">
        <f>IF(D112="Sieger 91","Sieger 110",IF(E112="Sieger 92","Sieger 110",IF(D112=E112,"Freilos",IF(E112="Freilos",D112,IF(D112="Freilos",E112,IF(F112&gt;G112,D112,IF(G112&gt;F112,E112,"Sieger 110")))))))</f>
        <v>Sieger 110</v>
      </c>
      <c r="F121" s="79"/>
      <c r="G121" s="80"/>
      <c r="H121" s="102"/>
      <c r="I121" s="102"/>
      <c r="J121" s="102"/>
      <c r="K121" s="103"/>
      <c r="L121" s="217"/>
      <c r="N121" s="64">
        <f t="shared" si="36"/>
        <v>0</v>
      </c>
      <c r="O121" s="64">
        <f t="shared" si="37"/>
        <v>0</v>
      </c>
      <c r="P121" s="64">
        <f t="shared" si="38"/>
        <v>0</v>
      </c>
      <c r="Q121" s="64">
        <f t="shared" si="46"/>
        <v>0</v>
      </c>
      <c r="R121" s="64">
        <f t="shared" si="39"/>
        <v>0</v>
      </c>
      <c r="S121" s="64">
        <f t="shared" si="40"/>
        <v>0</v>
      </c>
      <c r="T121" s="178">
        <f>IF(E121="Freilos",6,IF(F121&gt;G121,6,0))</f>
        <v>0</v>
      </c>
      <c r="U121" s="178">
        <f>IF(D121="Freilos",6,IF(G121&gt;F121,6,0))</f>
        <v>0</v>
      </c>
      <c r="V121" s="121">
        <f>IF(Auslosung_Turnierdaten!F62="","",54)</f>
      </c>
      <c r="W121" s="122">
        <f>IF(SP64!V121="","",Auslosung_Turnierdaten!F62)</f>
      </c>
      <c r="X121" s="122">
        <f>IF(SP64!V121="","",Auslosung_Turnierdaten!G62)</f>
      </c>
      <c r="Y121" s="122">
        <f>IF(SP64!V121="","",Auslosung_Turnierdaten!H62)</f>
      </c>
      <c r="Z121" s="122">
        <f>IF(SP64!V121="","",Auslosung_Turnierdaten!I62)</f>
      </c>
      <c r="AA121" s="123">
        <f>IF(SP64!V121="","",SP64!X56)</f>
      </c>
      <c r="AB121" s="123">
        <f>IF(SP64!V121="","",SP64!Z56)</f>
      </c>
      <c r="AC121" s="123">
        <f>IF(SP64!V121="","",SP64!AA56)</f>
      </c>
      <c r="AD121" s="123">
        <f>IF(SP64!V121="","",SP64!AC56)</f>
      </c>
      <c r="AE121" s="123">
        <f>IF(SP64!V121="","",IF($AE$67="VSp",SP64!AD56,SP64!AF56))</f>
      </c>
      <c r="AF121" s="124">
        <f>IF(SP64!V121="","",IF($AF$67="Quot",SP64!AE56,SP64!AG56))</f>
      </c>
      <c r="AG121" s="124">
        <f>IF($AG$67="BED",SP64!AH56,"")</f>
      </c>
      <c r="AH121" s="125">
        <f>IF($AH$67="HS",SP64!AI56,"")</f>
      </c>
      <c r="AM121" s="180"/>
      <c r="AN121" s="181"/>
      <c r="AO121" s="182"/>
      <c r="AP121" s="64">
        <f t="shared" si="43"/>
        <v>0</v>
      </c>
      <c r="AQ121" s="64">
        <f>IF(AND(COUNTIF(L121:L121:$L$129,L121)=1,F121+G121&gt;0),L121&amp;"-","")</f>
      </c>
      <c r="AR121" s="64">
        <f t="shared" si="44"/>
      </c>
      <c r="AS121" s="202"/>
      <c r="AT121" s="202"/>
      <c r="AU121" s="203">
        <f t="shared" si="45"/>
      </c>
    </row>
    <row r="122" spans="3:47" ht="11.25" thickBot="1">
      <c r="C122" s="108">
        <v>120</v>
      </c>
      <c r="D122" s="146" t="str">
        <f>IF(D113="Sieger 93","Sieger 111",IF(E113="Sieger 94","Sieger 111",IF(D113=E113,"Freilos",IF(E113="Freilos",D113,IF(D113="Freilos",E113,IF(F113&gt;G113,D113,IF(G113&gt;F113,E113,"Sieger 111")))))))</f>
        <v>Sieger 111</v>
      </c>
      <c r="E122" s="147" t="str">
        <f>IF(D114="Sieger 95","Sieger 112",IF(E114="Sieger 96","Sieger 112",IF(D114=E114,"Freilos",IF(E114="Freilos",D114,IF(D114="Freilos",E114,IF(F114&gt;G114,D114,IF(G114&gt;F114,E114,"Sieger 112")))))))</f>
        <v>Sieger 112</v>
      </c>
      <c r="F122" s="79"/>
      <c r="G122" s="80"/>
      <c r="H122" s="106"/>
      <c r="I122" s="106"/>
      <c r="J122" s="106"/>
      <c r="K122" s="107"/>
      <c r="L122" s="217"/>
      <c r="N122" s="64">
        <f t="shared" si="36"/>
        <v>0</v>
      </c>
      <c r="O122" s="64">
        <f t="shared" si="37"/>
        <v>0</v>
      </c>
      <c r="P122" s="64">
        <f t="shared" si="38"/>
        <v>0</v>
      </c>
      <c r="Q122" s="64">
        <f t="shared" si="46"/>
        <v>0</v>
      </c>
      <c r="R122" s="64">
        <f t="shared" si="39"/>
        <v>0</v>
      </c>
      <c r="S122" s="64">
        <f t="shared" si="40"/>
        <v>0</v>
      </c>
      <c r="T122" s="178">
        <f>IF(E122="Freilos",6,IF(F122&gt;G122,6,0))</f>
        <v>0</v>
      </c>
      <c r="U122" s="178">
        <f>IF(D122="Freilos",6,IF(G122&gt;F122,6,0))</f>
        <v>0</v>
      </c>
      <c r="V122" s="121">
        <f>IF(Auslosung_Turnierdaten!F63="","",55)</f>
      </c>
      <c r="W122" s="122">
        <f>IF(SP64!V122="","",Auslosung_Turnierdaten!F63)</f>
      </c>
      <c r="X122" s="122">
        <f>IF(SP64!V122="","",Auslosung_Turnierdaten!G63)</f>
      </c>
      <c r="Y122" s="122">
        <f>IF(SP64!V122="","",Auslosung_Turnierdaten!H63)</f>
      </c>
      <c r="Z122" s="122">
        <f>IF(SP64!V122="","",Auslosung_Turnierdaten!I63)</f>
      </c>
      <c r="AA122" s="123">
        <f>IF(SP64!V122="","",SP64!X57)</f>
      </c>
      <c r="AB122" s="123">
        <f>IF(SP64!V122="","",SP64!Z57)</f>
      </c>
      <c r="AC122" s="123">
        <f>IF(SP64!V122="","",SP64!AA57)</f>
      </c>
      <c r="AD122" s="123">
        <f>IF(SP64!V122="","",SP64!AC57)</f>
      </c>
      <c r="AE122" s="123">
        <f>IF(SP64!V122="","",IF($AE$67="VSp",SP64!AD57,SP64!AF57))</f>
      </c>
      <c r="AF122" s="124">
        <f>IF(SP64!V122="","",IF($AF$67="Quot",SP64!AE57,SP64!AG57))</f>
      </c>
      <c r="AG122" s="124">
        <f>IF($AG$67="BED",SP64!AH57,"")</f>
      </c>
      <c r="AH122" s="125">
        <f>IF($AH$67="HS",SP64!AI57,"")</f>
      </c>
      <c r="AM122" s="180"/>
      <c r="AN122" s="181"/>
      <c r="AO122" s="182"/>
      <c r="AP122" s="64">
        <f t="shared" si="43"/>
        <v>0</v>
      </c>
      <c r="AQ122" s="64">
        <f>IF(AND(COUNTIF(L122:L122:$L$129,L122)=1,F122+G122&gt;0),L122&amp;"-","")</f>
      </c>
      <c r="AR122" s="64">
        <f t="shared" si="44"/>
      </c>
      <c r="AS122" s="202"/>
      <c r="AT122" s="202"/>
      <c r="AU122" s="203">
        <f t="shared" si="45"/>
      </c>
    </row>
    <row r="123" spans="2:47" ht="11.25" thickBot="1">
      <c r="B123" s="87" t="s">
        <v>1081</v>
      </c>
      <c r="C123" s="108">
        <v>121</v>
      </c>
      <c r="D123" s="109" t="str">
        <f>IF(D119="Sieger 113","Sieger 117",IF(E119="Sieger 114","Sieger 117",IF(D119=E119,"Freilos",IF(E119="Freilos",D119,IF(D119="Freilos",E119,IF(F119&gt;G119,D119,IF(G119&gt;F119,E119,"Sieger 117")))))))</f>
        <v>Sieger 117</v>
      </c>
      <c r="E123" s="141" t="str">
        <f>IF(D121="Sieger 109","Verlierer 119",IF(E121="Sieger 110","Verlierer 119",IF(D121=E121,"Freilos",IF(E121="Freilos",E121,IF(D121="Freilos",D121,IF(F121&gt;G121,E121,IF(G121&gt;F121,D121,"Verlierer 119")))))))</f>
        <v>Verlierer 119</v>
      </c>
      <c r="F123" s="79"/>
      <c r="G123" s="80"/>
      <c r="H123" s="90"/>
      <c r="I123" s="90"/>
      <c r="J123" s="90"/>
      <c r="K123" s="91"/>
      <c r="L123" s="217"/>
      <c r="M123" s="92">
        <f>IF(F123&gt;G123,E123,IF(G123&gt;F123,D123,""))</f>
      </c>
      <c r="N123" s="64">
        <f t="shared" si="36"/>
        <v>0</v>
      </c>
      <c r="O123" s="64">
        <f t="shared" si="37"/>
        <v>0</v>
      </c>
      <c r="P123" s="64">
        <f>IF(D124="Freilos",0,IF(F123&lt;G123,1,IF(F123&gt;G123,1,0)))</f>
        <v>0</v>
      </c>
      <c r="Q123" s="64">
        <f>IF(D124="Freilos",0,IF(F123&lt;G123,1,IF(F123&gt;G123,1,0)))</f>
        <v>0</v>
      </c>
      <c r="R123" s="64">
        <f>IF(D124="Freilos",0,IF(F123&gt;G123,1,0))</f>
        <v>0</v>
      </c>
      <c r="S123" s="64">
        <f>IF(D124="Freilos",0,IF(G123&gt;F123,1,0))</f>
        <v>0</v>
      </c>
      <c r="T123" s="178">
        <f t="shared" si="41"/>
        <v>0</v>
      </c>
      <c r="U123" s="178">
        <f>IF(D124="Freilos",3,IF(G123&gt;F123,3,0))</f>
        <v>0</v>
      </c>
      <c r="V123" s="121">
        <f>IF(Auslosung_Turnierdaten!F64="","",56)</f>
      </c>
      <c r="W123" s="122">
        <f>IF(SP64!V123="","",Auslosung_Turnierdaten!F64)</f>
      </c>
      <c r="X123" s="122">
        <f>IF(SP64!V123="","",Auslosung_Turnierdaten!G64)</f>
      </c>
      <c r="Y123" s="122">
        <f>IF(SP64!V123="","",Auslosung_Turnierdaten!H64)</f>
      </c>
      <c r="Z123" s="122">
        <f>IF(SP64!V123="","",Auslosung_Turnierdaten!I64)</f>
      </c>
      <c r="AA123" s="123">
        <f>IF(SP64!V123="","",SP64!X58)</f>
      </c>
      <c r="AB123" s="123">
        <f>IF(SP64!V123="","",SP64!Z58)</f>
      </c>
      <c r="AC123" s="123">
        <f>IF(SP64!V123="","",SP64!AA58)</f>
      </c>
      <c r="AD123" s="123">
        <f>IF(SP64!V123="","",SP64!AC58)</f>
      </c>
      <c r="AE123" s="123">
        <f>IF(SP64!V123="","",IF($AE$67="VSp",SP64!AD58,SP64!AF58))</f>
      </c>
      <c r="AF123" s="124">
        <f>IF(SP64!V123="","",IF($AF$67="Quot",SP64!AE58,SP64!AG58))</f>
      </c>
      <c r="AG123" s="124">
        <f>IF($AG$67="BED",SP64!AH58,"")</f>
      </c>
      <c r="AH123" s="125">
        <f>IF($AH$67="HS",SP64!AI58,"")</f>
      </c>
      <c r="AM123" s="180"/>
      <c r="AN123" s="181"/>
      <c r="AO123" s="182"/>
      <c r="AP123" s="64">
        <f t="shared" si="43"/>
        <v>0</v>
      </c>
      <c r="AQ123" s="64">
        <f>IF(AND(COUNTIF(L123:L123:$L$129,L123)=1,F123+G123&gt;0),L123&amp;"-","")</f>
      </c>
      <c r="AR123" s="64">
        <f t="shared" si="44"/>
      </c>
      <c r="AS123" s="202"/>
      <c r="AT123" s="202"/>
      <c r="AU123" s="203">
        <f t="shared" si="45"/>
      </c>
    </row>
    <row r="124" spans="3:47" ht="11.25" thickBot="1">
      <c r="C124" s="108">
        <v>122</v>
      </c>
      <c r="D124" s="126" t="str">
        <f>IF(D120="Sieger 115","Sieger 118",IF(E120="Sieger 116","Sieger 118",IF(D120=E120,"Freilos",IF(E120="Freilos",D120,IF(D120="Freilos",E120,IF(F120&gt;G120,D120,IF(G120&gt;F120,E120,"Sieger 118")))))))</f>
        <v>Sieger 118</v>
      </c>
      <c r="E124" s="148" t="str">
        <f>IF(D122="Sieger 111","Verlierer 120",IF(E122="Sieger 112","Verlierer 120",IF(D122=E122,"Freilos",IF(E122="Freilos",E122,IF(D122="Freilos",D122,IF(F122&gt;G122,E122,IF(G122&gt;F122,D122,"Verlierer 120")))))))</f>
        <v>Verlierer 120</v>
      </c>
      <c r="F124" s="79"/>
      <c r="G124" s="80"/>
      <c r="H124" s="99"/>
      <c r="I124" s="99"/>
      <c r="J124" s="99"/>
      <c r="K124" s="100"/>
      <c r="L124" s="217"/>
      <c r="M124" s="92">
        <f>IF(F124&gt;G124,E124,IF(G124&gt;F124,D124,""))</f>
      </c>
      <c r="N124" s="64">
        <f t="shared" si="36"/>
        <v>0</v>
      </c>
      <c r="O124" s="64">
        <f t="shared" si="37"/>
        <v>0</v>
      </c>
      <c r="P124" s="64">
        <f>IF(D123="Freilos",0,IF(F124&lt;G124,1,IF(F124&gt;G124,1,0)))</f>
        <v>0</v>
      </c>
      <c r="Q124" s="64">
        <f>IF(D123="Freilos",0,IF(F124&lt;G124,1,IF(F124&gt;G124,1,0)))</f>
        <v>0</v>
      </c>
      <c r="R124" s="64">
        <f>IF(D123="Freilos",0,IF(F124&gt;G124,1,0))</f>
        <v>0</v>
      </c>
      <c r="S124" s="64">
        <f>IF(D123="Freilos",0,IF(G124&gt;F124,1,0))</f>
        <v>0</v>
      </c>
      <c r="T124" s="178">
        <f t="shared" si="41"/>
        <v>0</v>
      </c>
      <c r="U124" s="178">
        <f>IF(D123="Freilos",3,IF(G124&gt;F124,3,0))</f>
        <v>0</v>
      </c>
      <c r="V124" s="121">
        <f>IF(Auslosung_Turnierdaten!F65="","",57)</f>
      </c>
      <c r="W124" s="122">
        <f>IF(SP64!V124="","",Auslosung_Turnierdaten!F65)</f>
      </c>
      <c r="X124" s="122">
        <f>IF(SP64!V124="","",Auslosung_Turnierdaten!G65)</f>
      </c>
      <c r="Y124" s="122">
        <f>IF(SP64!V124="","",Auslosung_Turnierdaten!H65)</f>
      </c>
      <c r="Z124" s="122">
        <f>IF(SP64!V124="","",Auslosung_Turnierdaten!I65)</f>
      </c>
      <c r="AA124" s="123">
        <f>IF(SP64!V124="","",SP64!X59)</f>
      </c>
      <c r="AB124" s="123">
        <f>IF(SP64!V124="","",SP64!Z59)</f>
      </c>
      <c r="AC124" s="123">
        <f>IF(SP64!V124="","",SP64!AA59)</f>
      </c>
      <c r="AD124" s="123">
        <f>IF(SP64!V124="","",SP64!AC59)</f>
      </c>
      <c r="AE124" s="123">
        <f>IF(SP64!V124="","",IF($AE$67="VSp",SP64!AD59,SP64!AF59))</f>
      </c>
      <c r="AF124" s="124">
        <f>IF(SP64!V124="","",IF($AF$67="Quot",SP64!AE59,SP64!AG59))</f>
      </c>
      <c r="AG124" s="124">
        <f>IF($AG$67="BED",SP64!AH59,"")</f>
      </c>
      <c r="AH124" s="125">
        <f>IF($AH$67="HS",SP64!AI59,"")</f>
      </c>
      <c r="AM124" s="180"/>
      <c r="AN124" s="181"/>
      <c r="AO124" s="182"/>
      <c r="AP124" s="64">
        <f t="shared" si="43"/>
        <v>0</v>
      </c>
      <c r="AQ124" s="64">
        <f>IF(AND(COUNTIF(L124:L124:$L$129,L124)=1,F124+G124&gt;0),L124&amp;"-","")</f>
      </c>
      <c r="AR124" s="64">
        <f t="shared" si="44"/>
      </c>
      <c r="AS124" s="202"/>
      <c r="AT124" s="202"/>
      <c r="AU124" s="203">
        <f t="shared" si="45"/>
      </c>
    </row>
    <row r="125" spans="2:47" ht="11.25" thickBot="1">
      <c r="B125" s="87" t="s">
        <v>1085</v>
      </c>
      <c r="C125" s="149">
        <v>123</v>
      </c>
      <c r="D125" s="220" t="str">
        <f>IF(D123="Sieger 117","Sieger 121",IF(E123="Verlierer 119","Sieger 121",IF(D123=E123,"Freilos",IF(E123="Freilos",D123,IF(D123="Freilos",E123,IF(F123&gt;G123,D123,IF(G123&gt;F123,E123,"Sieger 121")))))))</f>
        <v>Sieger 121</v>
      </c>
      <c r="E125" s="150" t="str">
        <f>IF(D124="Sieger 118","Sieger 122",IF(E124="Verlierer 120","Sieger 122",IF(D124=E124,"Freilos",IF(E124="Freilos",D124,IF(D124="Freilos",E124,IF(F124&gt;G124,D124,IF(G124&gt;F124,E124,"Sieger 122")))))))</f>
        <v>Sieger 122</v>
      </c>
      <c r="F125" s="79"/>
      <c r="G125" s="80"/>
      <c r="H125" s="151"/>
      <c r="I125" s="151"/>
      <c r="J125" s="151"/>
      <c r="K125" s="210"/>
      <c r="L125" s="217"/>
      <c r="M125" s="92">
        <f>IF(F125&gt;G125,E125,IF(G125&gt;F125,D125,""))</f>
      </c>
      <c r="N125" s="64">
        <f t="shared" si="36"/>
        <v>0</v>
      </c>
      <c r="O125" s="64">
        <f t="shared" si="37"/>
        <v>0</v>
      </c>
      <c r="P125" s="64">
        <f t="shared" si="38"/>
        <v>0</v>
      </c>
      <c r="Q125" s="64">
        <f t="shared" si="46"/>
        <v>0</v>
      </c>
      <c r="R125" s="64">
        <f t="shared" si="39"/>
        <v>0</v>
      </c>
      <c r="S125" s="64">
        <f t="shared" si="40"/>
        <v>0</v>
      </c>
      <c r="T125" s="178">
        <f t="shared" si="41"/>
        <v>0</v>
      </c>
      <c r="U125" s="178">
        <f t="shared" si="42"/>
        <v>0</v>
      </c>
      <c r="V125" s="121">
        <f>IF(Auslosung_Turnierdaten!F66="","",58)</f>
      </c>
      <c r="W125" s="122">
        <f>IF(SP64!V125="","",Auslosung_Turnierdaten!F66)</f>
      </c>
      <c r="X125" s="122">
        <f>IF(SP64!V125="","",Auslosung_Turnierdaten!G66)</f>
      </c>
      <c r="Y125" s="122">
        <f>IF(SP64!V125="","",Auslosung_Turnierdaten!H66)</f>
      </c>
      <c r="Z125" s="122">
        <f>IF(SP64!V125="","",Auslosung_Turnierdaten!I66)</f>
      </c>
      <c r="AA125" s="123">
        <f>IF(SP64!V125="","",SP64!X60)</f>
      </c>
      <c r="AB125" s="123">
        <f>IF(SP64!V125="","",SP64!Z60)</f>
      </c>
      <c r="AC125" s="123">
        <f>IF(SP64!V125="","",SP64!AA60)</f>
      </c>
      <c r="AD125" s="123">
        <f>IF(SP64!V125="","",SP64!AC60)</f>
      </c>
      <c r="AE125" s="123">
        <f>IF(SP64!V125="","",IF($AE$67="VSp",SP64!AD60,SP64!AF60))</f>
      </c>
      <c r="AF125" s="124">
        <f>IF(SP64!V125="","",IF($AF$67="Quot",SP64!AE60,SP64!AG60))</f>
      </c>
      <c r="AG125" s="124">
        <f>IF($AG$67="BED",SP64!AH60,"")</f>
      </c>
      <c r="AH125" s="125">
        <f>IF($AH$67="HS",SP64!AI60,"")</f>
      </c>
      <c r="AM125" s="180"/>
      <c r="AN125" s="181"/>
      <c r="AO125" s="182"/>
      <c r="AP125" s="64">
        <f t="shared" si="43"/>
        <v>0</v>
      </c>
      <c r="AQ125" s="64">
        <f>IF(AND(COUNTIF(L125:L125:$L$129,L125)=1,F125+G125&gt;0),L125&amp;"-","")</f>
      </c>
      <c r="AR125" s="64">
        <f t="shared" si="44"/>
      </c>
      <c r="AS125" s="202"/>
      <c r="AT125" s="202"/>
      <c r="AU125" s="203">
        <f t="shared" si="45"/>
      </c>
    </row>
    <row r="126" spans="2:47" ht="11.25" thickBot="1">
      <c r="B126" s="101" t="s">
        <v>1760</v>
      </c>
      <c r="C126" s="149">
        <v>124</v>
      </c>
      <c r="D126" s="221" t="str">
        <f>IF(D121="Sieger 109","Sieger 119",IF(E121="Sieger 110","Sieger 119",IF(D121=E121,"Freilos",IF(E121="Freilos",D121,IF(D121="Freilos",E121,IF(F121&gt;G121,D121,IF(G121&gt;F121,E121,"Sieger 119")))))))</f>
        <v>Sieger 119</v>
      </c>
      <c r="E126" s="152" t="str">
        <f>IF(D122="Sieger 111","Sieger 120",IF(E122="Sieger 112","Sieger 120",IF(D122=E122,"Freilos",IF(E122="Freilos",D122,IF(D122="Freilos",E122,IF(F122&gt;G122,D122,IF(G122&gt;F122,E122,"Sieger 120")))))))</f>
        <v>Sieger 120</v>
      </c>
      <c r="F126" s="79"/>
      <c r="G126" s="80"/>
      <c r="H126" s="153"/>
      <c r="I126" s="153"/>
      <c r="J126" s="153"/>
      <c r="K126" s="211"/>
      <c r="L126" s="217"/>
      <c r="N126" s="64">
        <f t="shared" si="36"/>
        <v>0</v>
      </c>
      <c r="O126" s="64">
        <f t="shared" si="37"/>
        <v>0</v>
      </c>
      <c r="P126" s="64">
        <f t="shared" si="38"/>
        <v>0</v>
      </c>
      <c r="Q126" s="64">
        <f t="shared" si="46"/>
        <v>0</v>
      </c>
      <c r="R126" s="64">
        <f t="shared" si="39"/>
        <v>0</v>
      </c>
      <c r="S126" s="64">
        <f t="shared" si="40"/>
        <v>0</v>
      </c>
      <c r="T126" s="178">
        <f>IF(E126="Freilos",6,IF(F126&gt;G126,6,0))</f>
        <v>0</v>
      </c>
      <c r="U126" s="178">
        <f>IF(D126="Freilos",6,IF(G126&gt;F126,6,0))</f>
        <v>0</v>
      </c>
      <c r="V126" s="121">
        <f>IF(Auslosung_Turnierdaten!F67="","",59)</f>
      </c>
      <c r="W126" s="122">
        <f>IF(SP64!V126="","",Auslosung_Turnierdaten!F67)</f>
      </c>
      <c r="X126" s="122">
        <f>IF(SP64!V126="","",Auslosung_Turnierdaten!G67)</f>
      </c>
      <c r="Y126" s="122">
        <f>IF(SP64!V126="","",Auslosung_Turnierdaten!H67)</f>
      </c>
      <c r="Z126" s="122">
        <f>IF(SP64!V126="","",Auslosung_Turnierdaten!I67)</f>
      </c>
      <c r="AA126" s="123">
        <f>IF(SP64!V126="","",SP64!X61)</f>
      </c>
      <c r="AB126" s="123">
        <f>IF(SP64!V126="","",SP64!Z61)</f>
      </c>
      <c r="AC126" s="123">
        <f>IF(SP64!V126="","",SP64!AA61)</f>
      </c>
      <c r="AD126" s="123">
        <f>IF(SP64!V126="","",SP64!AC61)</f>
      </c>
      <c r="AE126" s="123">
        <f>IF(SP64!V126="","",IF($AE$67="VSp",SP64!AD61,SP64!AF61))</f>
      </c>
      <c r="AF126" s="124">
        <f>IF(SP64!V126="","",IF($AF$67="Quot",SP64!AE61,SP64!AG61))</f>
      </c>
      <c r="AG126" s="124">
        <f>IF($AG$67="BED",SP64!AH61,"")</f>
      </c>
      <c r="AH126" s="125">
        <f>IF($AH$67="HS",SP64!AI61,"")</f>
      </c>
      <c r="AM126" s="180"/>
      <c r="AN126" s="181"/>
      <c r="AO126" s="182"/>
      <c r="AP126" s="64">
        <f t="shared" si="43"/>
        <v>0</v>
      </c>
      <c r="AQ126" s="64">
        <f>IF(AND(COUNTIF(L126:L126:$L$129,L126)=1,F126+G126&gt;0),L126&amp;"-","")</f>
      </c>
      <c r="AR126" s="64">
        <f t="shared" si="44"/>
      </c>
      <c r="AS126" s="202"/>
      <c r="AT126" s="202"/>
      <c r="AU126" s="203">
        <f t="shared" si="45"/>
      </c>
    </row>
    <row r="127" spans="2:47" ht="11.25" thickBot="1">
      <c r="B127" s="87" t="s">
        <v>1086</v>
      </c>
      <c r="C127" s="149">
        <v>125</v>
      </c>
      <c r="D127" s="222" t="str">
        <f>IF(D125="Sieger 121","Sieger 123",IF(E125="Sieger 122","Sieger 123",IF(D125=E125,"Freilos",IF(E125="Freilos",D125,IF(D125="Freilos",E125,IF(F125&gt;G125,D125,IF(G125&gt;F125,E125,"Sieger 123")))))))</f>
        <v>Sieger 123</v>
      </c>
      <c r="E127" s="154" t="str">
        <f>IF(D126="Sieger 119","Verlierer 124",IF(E126="Sieger 120","Verlierer 124",IF(D126=E126,"Freilos",IF(E126="Freilos",E126,IF(D126="Freilos",D126,IF(F126&gt;G126,E126,IF(G126&gt;F126,D126,"Verlierer 124")))))))</f>
        <v>Verlierer 124</v>
      </c>
      <c r="F127" s="79"/>
      <c r="G127" s="80"/>
      <c r="H127" s="151"/>
      <c r="I127" s="151"/>
      <c r="J127" s="151"/>
      <c r="K127" s="210"/>
      <c r="L127" s="217"/>
      <c r="M127" s="92">
        <f>IF(F127&gt;G127,E127,IF(G127&gt;F127,D127,""))</f>
      </c>
      <c r="N127" s="64">
        <f t="shared" si="36"/>
        <v>0</v>
      </c>
      <c r="O127" s="64">
        <f t="shared" si="37"/>
        <v>0</v>
      </c>
      <c r="P127" s="64">
        <f t="shared" si="38"/>
        <v>0</v>
      </c>
      <c r="Q127" s="64">
        <f t="shared" si="46"/>
        <v>0</v>
      </c>
      <c r="R127" s="64">
        <f t="shared" si="39"/>
        <v>0</v>
      </c>
      <c r="S127" s="64">
        <f t="shared" si="40"/>
        <v>0</v>
      </c>
      <c r="T127" s="178">
        <f t="shared" si="41"/>
        <v>0</v>
      </c>
      <c r="U127" s="178">
        <f t="shared" si="42"/>
        <v>0</v>
      </c>
      <c r="V127" s="121">
        <f>IF(Auslosung_Turnierdaten!F68="","",60)</f>
      </c>
      <c r="W127" s="122">
        <f>IF(SP64!V127="","",Auslosung_Turnierdaten!F68)</f>
      </c>
      <c r="X127" s="122">
        <f>IF(SP64!V127="","",Auslosung_Turnierdaten!G68)</f>
      </c>
      <c r="Y127" s="122">
        <f>IF(SP64!V127="","",Auslosung_Turnierdaten!H68)</f>
      </c>
      <c r="Z127" s="122">
        <f>IF(SP64!V127="","",Auslosung_Turnierdaten!I68)</f>
      </c>
      <c r="AA127" s="123">
        <f>IF(SP64!V127="","",SP64!X62)</f>
      </c>
      <c r="AB127" s="123">
        <f>IF(SP64!V127="","",SP64!Z62)</f>
      </c>
      <c r="AC127" s="123">
        <f>IF(SP64!V127="","",SP64!AA62)</f>
      </c>
      <c r="AD127" s="123">
        <f>IF(SP64!V127="","",SP64!AC62)</f>
      </c>
      <c r="AE127" s="123">
        <f>IF(SP64!V127="","",IF($AE$67="VSp",SP64!AD62,SP64!AF62))</f>
      </c>
      <c r="AF127" s="124">
        <f>IF(SP64!V127="","",IF($AF$67="Quot",SP64!AE62,SP64!AG62))</f>
      </c>
      <c r="AG127" s="124">
        <f>IF($AG$67="BED",SP64!AH62,"")</f>
      </c>
      <c r="AH127" s="125">
        <f>IF($AH$67="HS",SP64!AI62,"")</f>
      </c>
      <c r="AM127" s="180"/>
      <c r="AN127" s="181"/>
      <c r="AO127" s="182"/>
      <c r="AP127" s="64">
        <f t="shared" si="43"/>
        <v>0</v>
      </c>
      <c r="AQ127" s="64">
        <f>IF(AND(COUNTIF(L127:L127:$L$129,L127)=1,F127+G127&gt;0),L127&amp;"-","")</f>
      </c>
      <c r="AR127" s="64">
        <f t="shared" si="44"/>
      </c>
      <c r="AS127" s="202"/>
      <c r="AT127" s="202"/>
      <c r="AU127" s="203">
        <f t="shared" si="45"/>
      </c>
    </row>
    <row r="128" spans="2:47" ht="11.25" thickBot="1">
      <c r="B128" s="69" t="s">
        <v>1759</v>
      </c>
      <c r="C128" s="149">
        <v>126</v>
      </c>
      <c r="D128" s="223" t="str">
        <f>IF(D126="Sieger 119","Sieger 124",IF(E126="Sieger 120","Sieger 124",IF(D126=E126,"Freilos",IF(E126="Freilos",D126,IF(D126="Freilos",E126,IF(F126&gt;G126,D126,IF(G126&gt;F126,E126,"Sieger 124")))))))</f>
        <v>Sieger 124</v>
      </c>
      <c r="E128" s="155" t="str">
        <f>IF(D127="Sieger 123","Sieger 125",IF(E127="Verlierer 124","Sieger 125",IF(D127=E127,"Freilos",IF(E127="Freilos",D127,IF(D127="Freilos",E127,IF(F127&gt;G127,D127,IF(G127&gt;F127,E127,"Sieger 125")))))))</f>
        <v>Sieger 125</v>
      </c>
      <c r="F128" s="79"/>
      <c r="G128" s="80"/>
      <c r="H128" s="156"/>
      <c r="I128" s="156"/>
      <c r="J128" s="156"/>
      <c r="K128" s="212"/>
      <c r="L128" s="217"/>
      <c r="M128" s="86" t="s">
        <v>887</v>
      </c>
      <c r="N128" s="64">
        <f t="shared" si="36"/>
        <v>0</v>
      </c>
      <c r="O128" s="64">
        <f t="shared" si="37"/>
        <v>0</v>
      </c>
      <c r="P128" s="64">
        <f t="shared" si="38"/>
        <v>0</v>
      </c>
      <c r="Q128" s="64">
        <f t="shared" si="46"/>
        <v>0</v>
      </c>
      <c r="R128" s="64">
        <f t="shared" si="39"/>
        <v>0</v>
      </c>
      <c r="S128" s="64">
        <f t="shared" si="40"/>
        <v>0</v>
      </c>
      <c r="T128" s="178">
        <f t="shared" si="41"/>
        <v>0</v>
      </c>
      <c r="U128" s="178">
        <f t="shared" si="42"/>
        <v>0</v>
      </c>
      <c r="V128" s="121">
        <f>IF(Auslosung_Turnierdaten!F69="","",61)</f>
      </c>
      <c r="W128" s="122">
        <f>IF(SP64!V128="","",Auslosung_Turnierdaten!F69)</f>
      </c>
      <c r="X128" s="122">
        <f>IF(SP64!V128="","",Auslosung_Turnierdaten!G69)</f>
      </c>
      <c r="Y128" s="122">
        <f>IF(SP64!V128="","",Auslosung_Turnierdaten!H69)</f>
      </c>
      <c r="Z128" s="122">
        <f>IF(SP64!V128="","",Auslosung_Turnierdaten!I69)</f>
      </c>
      <c r="AA128" s="123">
        <f>IF(SP64!V128="","",SP64!X63)</f>
      </c>
      <c r="AB128" s="123">
        <f>IF(SP64!V128="","",SP64!Z63)</f>
      </c>
      <c r="AC128" s="123">
        <f>IF(SP64!V128="","",SP64!AA63)</f>
      </c>
      <c r="AD128" s="123">
        <f>IF(SP64!V128="","",SP64!AC63)</f>
      </c>
      <c r="AE128" s="123">
        <f>IF(SP64!V128="","",IF($AE$67="VSp",SP64!AD63,SP64!AF63))</f>
      </c>
      <c r="AF128" s="124">
        <f>IF(SP64!V128="","",IF($AF$67="Quot",SP64!AE63,SP64!AG63))</f>
      </c>
      <c r="AG128" s="124">
        <f>IF($AG$67="BED",SP64!AH63,"")</f>
      </c>
      <c r="AH128" s="125">
        <f>IF($AH$67="HS",SP64!AI63,"")</f>
      </c>
      <c r="AM128" s="180"/>
      <c r="AN128" s="181"/>
      <c r="AO128" s="182"/>
      <c r="AP128" s="64">
        <f t="shared" si="43"/>
        <v>0</v>
      </c>
      <c r="AQ128" s="64">
        <f>IF(AND(COUNTIF(L128:L128:$L$129,L128)=1,F128+G128&gt;0),L128&amp;"-","")</f>
      </c>
      <c r="AR128" s="64">
        <f t="shared" si="44"/>
      </c>
      <c r="AS128" s="202"/>
      <c r="AT128" s="202"/>
      <c r="AU128" s="203">
        <f t="shared" si="45"/>
      </c>
    </row>
    <row r="129" spans="2:47" ht="11.25" thickBot="1">
      <c r="B129" s="157" t="s">
        <v>1759</v>
      </c>
      <c r="C129" s="158">
        <v>127</v>
      </c>
      <c r="D129" s="224" t="str">
        <f>IF(D128="Sieger 124","Sieger 126",IF(E128="Sieger 125","Sieger 126",IF(D128=E128,"Freilos",IF(E128="Freilos",D128,IF(D128="Freilos",E128,IF(F128&gt;G128,D128,IF(G128&gt;F128,E128,"Sieger 126")))))))</f>
        <v>Sieger 126</v>
      </c>
      <c r="E129" s="159" t="str">
        <f>IF(D128="Sieger 124","Verlierer 126",IF(E128="Sieger 125","Verlierer 126",IF(D128=E128,"Freilos",IF(E128="Freilos",D128,IF(D128="Freilos",E128,IF(F128&gt;G128,E128,IF(G128&gt;F128,D128,"Verlierer 126")))))))</f>
        <v>Verlierer 126</v>
      </c>
      <c r="F129" s="79"/>
      <c r="G129" s="80"/>
      <c r="H129" s="160"/>
      <c r="I129" s="160"/>
      <c r="J129" s="160"/>
      <c r="K129" s="213"/>
      <c r="L129" s="218"/>
      <c r="M129" s="86" t="s">
        <v>1074</v>
      </c>
      <c r="N129" s="64">
        <f t="shared" si="36"/>
        <v>0</v>
      </c>
      <c r="O129" s="64">
        <f t="shared" si="37"/>
        <v>0</v>
      </c>
      <c r="P129" s="64">
        <f t="shared" si="38"/>
        <v>0</v>
      </c>
      <c r="Q129" s="64">
        <f t="shared" si="46"/>
        <v>0</v>
      </c>
      <c r="R129" s="64">
        <f t="shared" si="39"/>
        <v>0</v>
      </c>
      <c r="S129" s="64">
        <f t="shared" si="40"/>
        <v>0</v>
      </c>
      <c r="T129" s="178">
        <f t="shared" si="41"/>
        <v>0</v>
      </c>
      <c r="U129" s="178">
        <f t="shared" si="42"/>
        <v>0</v>
      </c>
      <c r="V129" s="121">
        <f>IF(Auslosung_Turnierdaten!F70="","",62)</f>
      </c>
      <c r="W129" s="122">
        <f>IF(SP64!V129="","",Auslosung_Turnierdaten!F70)</f>
      </c>
      <c r="X129" s="122">
        <f>IF(SP64!V129="","",Auslosung_Turnierdaten!G70)</f>
      </c>
      <c r="Y129" s="122">
        <f>IF(SP64!V129="","",Auslosung_Turnierdaten!H70)</f>
      </c>
      <c r="Z129" s="122">
        <f>IF(SP64!V129="","",Auslosung_Turnierdaten!I70)</f>
      </c>
      <c r="AA129" s="123">
        <f>IF(SP64!V129="","",SP64!X64)</f>
      </c>
      <c r="AB129" s="123">
        <f>IF(SP64!V129="","",SP64!Z64)</f>
      </c>
      <c r="AC129" s="123">
        <f>IF(SP64!V129="","",SP64!AA64)</f>
      </c>
      <c r="AD129" s="123">
        <f>IF(SP64!V129="","",SP64!AC64)</f>
      </c>
      <c r="AE129" s="123">
        <f>IF(SP64!V129="","",IF($AE$67="VSp",SP64!AD64,SP64!AF64))</f>
      </c>
      <c r="AF129" s="124">
        <f>IF(SP64!V129="","",IF($AF$67="Quot",SP64!AE64,SP64!AG64))</f>
      </c>
      <c r="AG129" s="124">
        <f>IF($AG$67="BED",SP64!AH64,"")</f>
      </c>
      <c r="AH129" s="125">
        <f>IF($AH$67="HS",SP64!AI64,"")</f>
      </c>
      <c r="AM129" s="180"/>
      <c r="AN129" s="181"/>
      <c r="AO129" s="182"/>
      <c r="AP129" s="64">
        <f t="shared" si="43"/>
        <v>0</v>
      </c>
      <c r="AQ129" s="64">
        <f>IF(AND(COUNTIF(L129:L129:$L$129,L129)=1,F129+G129&gt;0),L129&amp;"-","")</f>
      </c>
      <c r="AR129" s="64">
        <f t="shared" si="44"/>
      </c>
      <c r="AS129" s="202"/>
      <c r="AT129" s="202"/>
      <c r="AU129" s="203">
        <f t="shared" si="45"/>
      </c>
    </row>
    <row r="130" spans="22:47" ht="9.75">
      <c r="V130" s="121">
        <f>IF(Auslosung_Turnierdaten!F71="","",63)</f>
      </c>
      <c r="W130" s="122">
        <f>IF(SP64!V130="","",Auslosung_Turnierdaten!F71)</f>
      </c>
      <c r="X130" s="122">
        <f>IF(SP64!V130="","",Auslosung_Turnierdaten!G71)</f>
      </c>
      <c r="Y130" s="122">
        <f>IF(SP64!V130="","",Auslosung_Turnierdaten!H71)</f>
      </c>
      <c r="Z130" s="122">
        <f>IF(SP64!V130="","",Auslosung_Turnierdaten!I71)</f>
      </c>
      <c r="AA130" s="123">
        <f>IF(SP64!V130="","",SP64!X65)</f>
      </c>
      <c r="AB130" s="123">
        <f>IF(SP64!V130="","",SP64!Z65)</f>
      </c>
      <c r="AC130" s="123">
        <f>IF(SP64!V130="","",SP64!AA65)</f>
      </c>
      <c r="AD130" s="123">
        <f>IF(SP64!V130="","",SP64!AC65)</f>
      </c>
      <c r="AE130" s="123">
        <f>IF(SP64!V130="","",IF($AE$67="VSp",SP64!AD65,SP64!AF65))</f>
      </c>
      <c r="AF130" s="124">
        <f>IF(SP64!V130="","",IF($AF$67="Quot",SP64!AE65,SP64!AG65))</f>
      </c>
      <c r="AG130" s="124">
        <f>IF($AG$67="BED",SP64!AH65,"")</f>
      </c>
      <c r="AH130" s="125">
        <f>IF($AH$67="HS",SP64!AI65,"")</f>
      </c>
      <c r="AM130" s="186"/>
      <c r="AN130" s="187"/>
      <c r="AO130" s="188"/>
      <c r="AU130" s="228"/>
    </row>
    <row r="131" spans="22:34" ht="10.5" thickBot="1">
      <c r="V131" s="161">
        <f>IF(Auslosung_Turnierdaten!F72="","",64)</f>
      </c>
      <c r="W131" s="162">
        <f>IF(SP64!V131="","",Auslosung_Turnierdaten!F72)</f>
      </c>
      <c r="X131" s="162">
        <f>IF(SP64!V131="","",Auslosung_Turnierdaten!G72)</f>
      </c>
      <c r="Y131" s="162">
        <f>IF(SP64!V131="","",Auslosung_Turnierdaten!H72)</f>
      </c>
      <c r="Z131" s="162">
        <f>IF(SP64!V131="","",Auslosung_Turnierdaten!I72)</f>
      </c>
      <c r="AA131" s="163">
        <f>IF(SP64!V131="","",SP64!X66)</f>
      </c>
      <c r="AB131" s="163">
        <f>IF(SP64!V131="","",SP64!Z66)</f>
      </c>
      <c r="AC131" s="163">
        <f>IF(SP64!V131="","",SP64!AA66)</f>
      </c>
      <c r="AD131" s="163">
        <f>IF(SP64!V131="","",SP64!AC66)</f>
      </c>
      <c r="AE131" s="163">
        <f>IF(SP64!V131="","",IF($AE$67="VSp",SP64!AD66,SP64!AF66))</f>
      </c>
      <c r="AF131" s="164">
        <f>IF(SP64!V131="","",IF($AF$67="Quot",SP64!AE66,SP64!AG66))</f>
      </c>
      <c r="AG131" s="164">
        <f>IF($AG$67="BED",SP64!AH66,"")</f>
      </c>
      <c r="AH131" s="165">
        <f>IF($AH$67="HS",SP64!AI66,"")</f>
      </c>
    </row>
    <row r="132" ht="9.75"/>
    <row r="133" ht="9.75"/>
    <row r="134" ht="9.75">
      <c r="I134" s="189"/>
    </row>
    <row r="140" ht="9.75"/>
    <row r="141" ht="9.75"/>
    <row r="142" ht="9.75"/>
  </sheetData>
  <sheetProtection sheet="1" objects="1" scenarios="1"/>
  <conditionalFormatting sqref="L3">
    <cfRule type="expression" priority="1" dxfId="392" stopIfTrue="1">
      <formula>T3+U3&gt;0</formula>
    </cfRule>
    <cfRule type="expression" priority="2" dxfId="393" stopIfTrue="1">
      <formula>D3="Spieler 1"</formula>
    </cfRule>
    <cfRule type="expression" priority="3" dxfId="393" stopIfTrue="1">
      <formula>E3="Spieler 33"</formula>
    </cfRule>
  </conditionalFormatting>
  <conditionalFormatting sqref="AS3:AS129">
    <cfRule type="expression" priority="4" dxfId="378" stopIfTrue="1">
      <formula>L3=""</formula>
    </cfRule>
    <cfRule type="expression" priority="5" dxfId="382" stopIfTrue="1">
      <formula>F3+G3&gt;0</formula>
    </cfRule>
    <cfRule type="expression" priority="6" dxfId="384" stopIfTrue="1">
      <formula>AS3=""</formula>
    </cfRule>
  </conditionalFormatting>
  <conditionalFormatting sqref="AT3:AT129">
    <cfRule type="expression" priority="7" dxfId="378" stopIfTrue="1">
      <formula>L3=""</formula>
    </cfRule>
    <cfRule type="expression" priority="8" dxfId="382" stopIfTrue="1">
      <formula>AT3&gt;0</formula>
    </cfRule>
    <cfRule type="expression" priority="9" dxfId="378" stopIfTrue="1">
      <formula>F3+G3=0</formula>
    </cfRule>
  </conditionalFormatting>
  <conditionalFormatting sqref="AU3:AU129">
    <cfRule type="expression" priority="10" dxfId="378" stopIfTrue="1">
      <formula>L3=""</formula>
    </cfRule>
    <cfRule type="expression" priority="11" dxfId="379" stopIfTrue="1">
      <formula>AT3-AS3&gt;0</formula>
    </cfRule>
    <cfRule type="expression" priority="12" dxfId="378" stopIfTrue="1">
      <formula>AU3=""</formula>
    </cfRule>
  </conditionalFormatting>
  <conditionalFormatting sqref="L4">
    <cfRule type="expression" priority="13" dxfId="392" stopIfTrue="1">
      <formula>T4+U4&gt;0</formula>
    </cfRule>
    <cfRule type="expression" priority="14" dxfId="393" stopIfTrue="1">
      <formula>D4="Spieler 17"</formula>
    </cfRule>
    <cfRule type="expression" priority="15" dxfId="393" stopIfTrue="1">
      <formula>E4="Spieler 49"</formula>
    </cfRule>
  </conditionalFormatting>
  <conditionalFormatting sqref="L5">
    <cfRule type="expression" priority="16" dxfId="392" stopIfTrue="1">
      <formula>T5+U5&gt;0</formula>
    </cfRule>
    <cfRule type="expression" priority="17" dxfId="393" stopIfTrue="1">
      <formula>D5="Spieler 9"</formula>
    </cfRule>
    <cfRule type="expression" priority="18" dxfId="393" stopIfTrue="1">
      <formula>E5="Spieler 41"</formula>
    </cfRule>
  </conditionalFormatting>
  <conditionalFormatting sqref="L6">
    <cfRule type="expression" priority="19" dxfId="392" stopIfTrue="1">
      <formula>T6+U6&gt;0</formula>
    </cfRule>
    <cfRule type="expression" priority="20" dxfId="393" stopIfTrue="1">
      <formula>D6="Spieler 25"</formula>
    </cfRule>
    <cfRule type="expression" priority="21" dxfId="393" stopIfTrue="1">
      <formula>E6="Spieler 57"</formula>
    </cfRule>
  </conditionalFormatting>
  <conditionalFormatting sqref="L7">
    <cfRule type="expression" priority="22" dxfId="392" stopIfTrue="1">
      <formula>T7+U7&gt;0</formula>
    </cfRule>
    <cfRule type="expression" priority="23" dxfId="393" stopIfTrue="1">
      <formula>D7="Spieler 5"</formula>
    </cfRule>
    <cfRule type="expression" priority="24" dxfId="393" stopIfTrue="1">
      <formula>E7="Spieler 37"</formula>
    </cfRule>
  </conditionalFormatting>
  <conditionalFormatting sqref="L8">
    <cfRule type="expression" priority="25" dxfId="392" stopIfTrue="1">
      <formula>T8+U8&gt;0</formula>
    </cfRule>
    <cfRule type="expression" priority="26" dxfId="393" stopIfTrue="1">
      <formula>D8="Spieler 21"</formula>
    </cfRule>
    <cfRule type="expression" priority="27" dxfId="393" stopIfTrue="1">
      <formula>E8="Spieler 53"</formula>
    </cfRule>
  </conditionalFormatting>
  <conditionalFormatting sqref="L9">
    <cfRule type="expression" priority="28" dxfId="392" stopIfTrue="1">
      <formula>T9+U9&gt;0</formula>
    </cfRule>
    <cfRule type="expression" priority="29" dxfId="393" stopIfTrue="1">
      <formula>D9="Spieler 13"</formula>
    </cfRule>
    <cfRule type="expression" priority="30" dxfId="393" stopIfTrue="1">
      <formula>E9="Spieler 45"</formula>
    </cfRule>
  </conditionalFormatting>
  <conditionalFormatting sqref="L10">
    <cfRule type="expression" priority="31" dxfId="392" stopIfTrue="1">
      <formula>T10+U10&gt;0</formula>
    </cfRule>
    <cfRule type="expression" priority="32" dxfId="393" stopIfTrue="1">
      <formula>D10="Spieler 29"</formula>
    </cfRule>
    <cfRule type="expression" priority="33" dxfId="393" stopIfTrue="1">
      <formula>E10="Spieler 61"</formula>
    </cfRule>
  </conditionalFormatting>
  <conditionalFormatting sqref="L11">
    <cfRule type="expression" priority="34" dxfId="392" stopIfTrue="1">
      <formula>T11+U11&gt;0</formula>
    </cfRule>
    <cfRule type="expression" priority="35" dxfId="393" stopIfTrue="1">
      <formula>D11="Spieler 3"</formula>
    </cfRule>
    <cfRule type="expression" priority="36" dxfId="393" stopIfTrue="1">
      <formula>E11="Spieler 35"</formula>
    </cfRule>
  </conditionalFormatting>
  <conditionalFormatting sqref="L12">
    <cfRule type="expression" priority="37" dxfId="392" stopIfTrue="1">
      <formula>T12+U12&gt;0</formula>
    </cfRule>
    <cfRule type="expression" priority="38" dxfId="393" stopIfTrue="1">
      <formula>D12="Spieler 19"</formula>
    </cfRule>
    <cfRule type="expression" priority="39" dxfId="393" stopIfTrue="1">
      <formula>E12="Spieler 51"</formula>
    </cfRule>
  </conditionalFormatting>
  <conditionalFormatting sqref="L13">
    <cfRule type="expression" priority="40" dxfId="392" stopIfTrue="1">
      <formula>T13+U13&gt;0</formula>
    </cfRule>
    <cfRule type="expression" priority="41" dxfId="393" stopIfTrue="1">
      <formula>D13="Spieler 11"</formula>
    </cfRule>
    <cfRule type="expression" priority="42" dxfId="393" stopIfTrue="1">
      <formula>E13="Spieler 43"</formula>
    </cfRule>
  </conditionalFormatting>
  <conditionalFormatting sqref="L14">
    <cfRule type="expression" priority="43" dxfId="392" stopIfTrue="1">
      <formula>T14+U14&gt;0</formula>
    </cfRule>
    <cfRule type="expression" priority="44" dxfId="393" stopIfTrue="1">
      <formula>D14="Spieler 27"</formula>
    </cfRule>
    <cfRule type="expression" priority="45" dxfId="393" stopIfTrue="1">
      <formula>E14="Spieler 59"</formula>
    </cfRule>
  </conditionalFormatting>
  <conditionalFormatting sqref="L15">
    <cfRule type="expression" priority="46" dxfId="392" stopIfTrue="1">
      <formula>T15+U15&gt;0</formula>
    </cfRule>
    <cfRule type="expression" priority="47" dxfId="393" stopIfTrue="1">
      <formula>D15="Spieler 7"</formula>
    </cfRule>
    <cfRule type="expression" priority="48" dxfId="393" stopIfTrue="1">
      <formula>E15="Spieler 39"</formula>
    </cfRule>
  </conditionalFormatting>
  <conditionalFormatting sqref="L16">
    <cfRule type="expression" priority="49" dxfId="392" stopIfTrue="1">
      <formula>T16+U16&gt;0</formula>
    </cfRule>
    <cfRule type="expression" priority="50" dxfId="393" stopIfTrue="1">
      <formula>D16="Spieler 23"</formula>
    </cfRule>
    <cfRule type="expression" priority="51" dxfId="393" stopIfTrue="1">
      <formula>E16="Spieler 55"</formula>
    </cfRule>
  </conditionalFormatting>
  <conditionalFormatting sqref="L17">
    <cfRule type="expression" priority="52" dxfId="392" stopIfTrue="1">
      <formula>T17+U17&gt;0</formula>
    </cfRule>
    <cfRule type="expression" priority="53" dxfId="393" stopIfTrue="1">
      <formula>D17="Spieler 15"</formula>
    </cfRule>
    <cfRule type="expression" priority="54" dxfId="393" stopIfTrue="1">
      <formula>E17="Spieler 47"</formula>
    </cfRule>
  </conditionalFormatting>
  <conditionalFormatting sqref="L18">
    <cfRule type="expression" priority="55" dxfId="392" stopIfTrue="1">
      <formula>T18+U18&gt;0</formula>
    </cfRule>
    <cfRule type="expression" priority="56" dxfId="393" stopIfTrue="1">
      <formula>D18="Spieler 31"</formula>
    </cfRule>
    <cfRule type="expression" priority="57" dxfId="393" stopIfTrue="1">
      <formula>E18="Spieler 63"</formula>
    </cfRule>
  </conditionalFormatting>
  <conditionalFormatting sqref="L19">
    <cfRule type="expression" priority="58" dxfId="392" stopIfTrue="1">
      <formula>T19+U19&gt;0</formula>
    </cfRule>
    <cfRule type="expression" priority="59" dxfId="393" stopIfTrue="1">
      <formula>D19="Spieler 2"</formula>
    </cfRule>
    <cfRule type="expression" priority="60" dxfId="393" stopIfTrue="1">
      <formula>E19="Spieler 34"</formula>
    </cfRule>
  </conditionalFormatting>
  <conditionalFormatting sqref="L20">
    <cfRule type="expression" priority="61" dxfId="392" stopIfTrue="1">
      <formula>T20+U20&gt;0</formula>
    </cfRule>
    <cfRule type="expression" priority="62" dxfId="393" stopIfTrue="1">
      <formula>D20="Spieler 18"</formula>
    </cfRule>
    <cfRule type="expression" priority="63" dxfId="393" stopIfTrue="1">
      <formula>E20="Spieler 50"</formula>
    </cfRule>
  </conditionalFormatting>
  <conditionalFormatting sqref="L21">
    <cfRule type="expression" priority="64" dxfId="392" stopIfTrue="1">
      <formula>T21+U21&gt;0</formula>
    </cfRule>
    <cfRule type="expression" priority="65" dxfId="393" stopIfTrue="1">
      <formula>D21="Spieler 10"</formula>
    </cfRule>
    <cfRule type="expression" priority="66" dxfId="393" stopIfTrue="1">
      <formula>E21="Spieler 42"</formula>
    </cfRule>
  </conditionalFormatting>
  <conditionalFormatting sqref="L22">
    <cfRule type="expression" priority="67" dxfId="392" stopIfTrue="1">
      <formula>T22+U22&gt;0</formula>
    </cfRule>
    <cfRule type="expression" priority="68" dxfId="393" stopIfTrue="1">
      <formula>D22="Spieler 26"</formula>
    </cfRule>
    <cfRule type="expression" priority="69" dxfId="393" stopIfTrue="1">
      <formula>E22="Spieler 58"</formula>
    </cfRule>
  </conditionalFormatting>
  <conditionalFormatting sqref="L23">
    <cfRule type="expression" priority="70" dxfId="392" stopIfTrue="1">
      <formula>T23+U23&gt;0</formula>
    </cfRule>
    <cfRule type="expression" priority="71" dxfId="393" stopIfTrue="1">
      <formula>D23="Spieler 6"</formula>
    </cfRule>
    <cfRule type="expression" priority="72" dxfId="393" stopIfTrue="1">
      <formula>E23="Spieler 38"</formula>
    </cfRule>
  </conditionalFormatting>
  <conditionalFormatting sqref="L24">
    <cfRule type="expression" priority="73" dxfId="392" stopIfTrue="1">
      <formula>T24+U24&gt;0</formula>
    </cfRule>
    <cfRule type="expression" priority="74" dxfId="393" stopIfTrue="1">
      <formula>D24="Spieler 22"</formula>
    </cfRule>
    <cfRule type="expression" priority="75" dxfId="393" stopIfTrue="1">
      <formula>E24="Spieler 54"</formula>
    </cfRule>
  </conditionalFormatting>
  <conditionalFormatting sqref="L25">
    <cfRule type="expression" priority="76" dxfId="392" stopIfTrue="1">
      <formula>T25+U25&gt;0</formula>
    </cfRule>
    <cfRule type="expression" priority="77" dxfId="393" stopIfTrue="1">
      <formula>D25="Spieler 14"</formula>
    </cfRule>
    <cfRule type="expression" priority="78" dxfId="393" stopIfTrue="1">
      <formula>E25="Spieler 46"</formula>
    </cfRule>
  </conditionalFormatting>
  <conditionalFormatting sqref="L26">
    <cfRule type="expression" priority="79" dxfId="392" stopIfTrue="1">
      <formula>T26+U26&gt;0</formula>
    </cfRule>
    <cfRule type="expression" priority="80" dxfId="393" stopIfTrue="1">
      <formula>D26="Spieler 30"</formula>
    </cfRule>
    <cfRule type="expression" priority="81" dxfId="393" stopIfTrue="1">
      <formula>E26="Spieler 62"</formula>
    </cfRule>
  </conditionalFormatting>
  <conditionalFormatting sqref="L27">
    <cfRule type="expression" priority="82" dxfId="392" stopIfTrue="1">
      <formula>T27+U27&gt;0</formula>
    </cfRule>
    <cfRule type="expression" priority="83" dxfId="393" stopIfTrue="1">
      <formula>D27="Spieler 4"</formula>
    </cfRule>
    <cfRule type="expression" priority="84" dxfId="393" stopIfTrue="1">
      <formula>E27="Spieler 36"</formula>
    </cfRule>
  </conditionalFormatting>
  <conditionalFormatting sqref="L28">
    <cfRule type="expression" priority="85" dxfId="392" stopIfTrue="1">
      <formula>T28+U28&gt;0</formula>
    </cfRule>
    <cfRule type="expression" priority="86" dxfId="393" stopIfTrue="1">
      <formula>D28="Spieler 20"</formula>
    </cfRule>
    <cfRule type="expression" priority="87" dxfId="393" stopIfTrue="1">
      <formula>E28="Spieler 52"</formula>
    </cfRule>
  </conditionalFormatting>
  <conditionalFormatting sqref="L29">
    <cfRule type="expression" priority="88" dxfId="392" stopIfTrue="1">
      <formula>T29+U29&gt;0</formula>
    </cfRule>
    <cfRule type="expression" priority="89" dxfId="393" stopIfTrue="1">
      <formula>D29="Spieler 12"</formula>
    </cfRule>
    <cfRule type="expression" priority="90" dxfId="393" stopIfTrue="1">
      <formula>E29="Spieler 44"</formula>
    </cfRule>
  </conditionalFormatting>
  <conditionalFormatting sqref="L30">
    <cfRule type="expression" priority="91" dxfId="392" stopIfTrue="1">
      <formula>T30+U30&gt;0</formula>
    </cfRule>
    <cfRule type="expression" priority="92" dxfId="393" stopIfTrue="1">
      <formula>D30="Spieler 28"</formula>
    </cfRule>
    <cfRule type="expression" priority="93" dxfId="393" stopIfTrue="1">
      <formula>E30="Spieler 60"</formula>
    </cfRule>
  </conditionalFormatting>
  <conditionalFormatting sqref="L31">
    <cfRule type="expression" priority="94" dxfId="392" stopIfTrue="1">
      <formula>T31+U31&gt;0</formula>
    </cfRule>
    <cfRule type="expression" priority="95" dxfId="393" stopIfTrue="1">
      <formula>D31="Spieler 8"</formula>
    </cfRule>
    <cfRule type="expression" priority="96" dxfId="393" stopIfTrue="1">
      <formula>E31="Spieler 40"</formula>
    </cfRule>
  </conditionalFormatting>
  <conditionalFormatting sqref="L32">
    <cfRule type="expression" priority="97" dxfId="392" stopIfTrue="1">
      <formula>T32+U32&gt;0</formula>
    </cfRule>
    <cfRule type="expression" priority="98" dxfId="393" stopIfTrue="1">
      <formula>D32="Spieler 24"</formula>
    </cfRule>
    <cfRule type="expression" priority="99" dxfId="393" stopIfTrue="1">
      <formula>E32="Spieler 56"</formula>
    </cfRule>
  </conditionalFormatting>
  <conditionalFormatting sqref="L33">
    <cfRule type="expression" priority="100" dxfId="392" stopIfTrue="1">
      <formula>T33+U33&gt;0</formula>
    </cfRule>
    <cfRule type="expression" priority="101" dxfId="393" stopIfTrue="1">
      <formula>D33="Spieler 16"</formula>
    </cfRule>
    <cfRule type="expression" priority="102" dxfId="393" stopIfTrue="1">
      <formula>E33="Spieler 48"</formula>
    </cfRule>
  </conditionalFormatting>
  <conditionalFormatting sqref="L34">
    <cfRule type="expression" priority="103" dxfId="392" stopIfTrue="1">
      <formula>T34+U34&gt;0</formula>
    </cfRule>
    <cfRule type="expression" priority="104" dxfId="393" stopIfTrue="1">
      <formula>D34="Spieler 32"</formula>
    </cfRule>
    <cfRule type="expression" priority="105" dxfId="393" stopIfTrue="1">
      <formula>E34="Spieler 64"</formula>
    </cfRule>
  </conditionalFormatting>
  <conditionalFormatting sqref="L35">
    <cfRule type="expression" priority="106" dxfId="392" stopIfTrue="1">
      <formula>T35+U35&gt;0</formula>
    </cfRule>
    <cfRule type="expression" priority="107" dxfId="393" stopIfTrue="1">
      <formula>D35="Verlierer 1"</formula>
    </cfRule>
    <cfRule type="expression" priority="108" dxfId="393" stopIfTrue="1">
      <formula>E35="Verlierer 2"</formula>
    </cfRule>
  </conditionalFormatting>
  <conditionalFormatting sqref="L36">
    <cfRule type="expression" priority="109" dxfId="392" stopIfTrue="1">
      <formula>T36+U36&gt;0</formula>
    </cfRule>
    <cfRule type="expression" priority="110" dxfId="393" stopIfTrue="1">
      <formula>D36="Verlierer 3"</formula>
    </cfRule>
    <cfRule type="expression" priority="111" dxfId="393" stopIfTrue="1">
      <formula>E36="Verlierer 4"</formula>
    </cfRule>
  </conditionalFormatting>
  <conditionalFormatting sqref="L37">
    <cfRule type="expression" priority="112" dxfId="392" stopIfTrue="1">
      <formula>T37+U37&gt;0</formula>
    </cfRule>
    <cfRule type="expression" priority="113" dxfId="393" stopIfTrue="1">
      <formula>D37="Verlierer 5"</formula>
    </cfRule>
    <cfRule type="expression" priority="114" dxfId="393" stopIfTrue="1">
      <formula>E37="Verlierer 6"</formula>
    </cfRule>
  </conditionalFormatting>
  <conditionalFormatting sqref="L38">
    <cfRule type="expression" priority="115" dxfId="392" stopIfTrue="1">
      <formula>T38+U38&gt;0</formula>
    </cfRule>
    <cfRule type="expression" priority="116" dxfId="393" stopIfTrue="1">
      <formula>D38="Verlierer 7"</formula>
    </cfRule>
    <cfRule type="expression" priority="117" dxfId="393" stopIfTrue="1">
      <formula>E38="Verlierer 8"</formula>
    </cfRule>
  </conditionalFormatting>
  <conditionalFormatting sqref="L39">
    <cfRule type="expression" priority="118" dxfId="392" stopIfTrue="1">
      <formula>T39+U39&gt;0</formula>
    </cfRule>
    <cfRule type="expression" priority="119" dxfId="393" stopIfTrue="1">
      <formula>D39="Verlierer 9"</formula>
    </cfRule>
    <cfRule type="expression" priority="120" dxfId="393" stopIfTrue="1">
      <formula>E39="Verlierer 10"</formula>
    </cfRule>
  </conditionalFormatting>
  <conditionalFormatting sqref="L40">
    <cfRule type="expression" priority="121" dxfId="392" stopIfTrue="1">
      <formula>T40+U40&gt;0</formula>
    </cfRule>
    <cfRule type="expression" priority="122" dxfId="393" stopIfTrue="1">
      <formula>D40="Verlierer 11"</formula>
    </cfRule>
    <cfRule type="expression" priority="123" dxfId="393" stopIfTrue="1">
      <formula>E40="Verlierer 12"</formula>
    </cfRule>
  </conditionalFormatting>
  <conditionalFormatting sqref="L41">
    <cfRule type="expression" priority="124" dxfId="392" stopIfTrue="1">
      <formula>T41+U41&gt;0</formula>
    </cfRule>
    <cfRule type="expression" priority="125" dxfId="393" stopIfTrue="1">
      <formula>D41="Verlierer 13"</formula>
    </cfRule>
    <cfRule type="expression" priority="126" dxfId="393" stopIfTrue="1">
      <formula>E41="Verlierer 14"</formula>
    </cfRule>
  </conditionalFormatting>
  <conditionalFormatting sqref="L42">
    <cfRule type="expression" priority="127" dxfId="392" stopIfTrue="1">
      <formula>T42+U42&gt;0</formula>
    </cfRule>
    <cfRule type="expression" priority="128" dxfId="393" stopIfTrue="1">
      <formula>D42="Verlierer 15"</formula>
    </cfRule>
    <cfRule type="expression" priority="129" dxfId="393" stopIfTrue="1">
      <formula>E42="Verlierer 16"</formula>
    </cfRule>
  </conditionalFormatting>
  <conditionalFormatting sqref="L43">
    <cfRule type="expression" priority="130" dxfId="392" stopIfTrue="1">
      <formula>T43+U43&gt;0</formula>
    </cfRule>
    <cfRule type="expression" priority="131" dxfId="393" stopIfTrue="1">
      <formula>D43="Verlierer 17"</formula>
    </cfRule>
    <cfRule type="expression" priority="132" dxfId="393" stopIfTrue="1">
      <formula>E43="Verlierer 18"</formula>
    </cfRule>
  </conditionalFormatting>
  <conditionalFormatting sqref="L44">
    <cfRule type="expression" priority="133" dxfId="392" stopIfTrue="1">
      <formula>T44+U44&gt;0</formula>
    </cfRule>
    <cfRule type="expression" priority="134" dxfId="393" stopIfTrue="1">
      <formula>D44="Verlierer 19"</formula>
    </cfRule>
    <cfRule type="expression" priority="135" dxfId="393" stopIfTrue="1">
      <formula>E44="Verlierer 20"</formula>
    </cfRule>
  </conditionalFormatting>
  <conditionalFormatting sqref="L45">
    <cfRule type="expression" priority="136" dxfId="392" stopIfTrue="1">
      <formula>T45+U45&gt;0</formula>
    </cfRule>
    <cfRule type="expression" priority="137" dxfId="393" stopIfTrue="1">
      <formula>D45="Verlierer 21"</formula>
    </cfRule>
    <cfRule type="expression" priority="138" dxfId="393" stopIfTrue="1">
      <formula>E45="Verlierer 22"</formula>
    </cfRule>
  </conditionalFormatting>
  <conditionalFormatting sqref="L46">
    <cfRule type="expression" priority="139" dxfId="392" stopIfTrue="1">
      <formula>T46+U46&gt;0</formula>
    </cfRule>
    <cfRule type="expression" priority="140" dxfId="393" stopIfTrue="1">
      <formula>D46="Verlierer 23"</formula>
    </cfRule>
    <cfRule type="expression" priority="141" dxfId="393" stopIfTrue="1">
      <formula>E46="Verlierer 24"</formula>
    </cfRule>
  </conditionalFormatting>
  <conditionalFormatting sqref="L47">
    <cfRule type="expression" priority="142" dxfId="392" stopIfTrue="1">
      <formula>T47+U47&gt;0</formula>
    </cfRule>
    <cfRule type="expression" priority="143" dxfId="393" stopIfTrue="1">
      <formula>D47="Verlierer 25"</formula>
    </cfRule>
    <cfRule type="expression" priority="144" dxfId="393" stopIfTrue="1">
      <formula>E47="Verlierer 26"</formula>
    </cfRule>
  </conditionalFormatting>
  <conditionalFormatting sqref="L48">
    <cfRule type="expression" priority="145" dxfId="392" stopIfTrue="1">
      <formula>T48+U48&gt;0</formula>
    </cfRule>
    <cfRule type="expression" priority="146" dxfId="393" stopIfTrue="1">
      <formula>D48="Verlierer 27"</formula>
    </cfRule>
    <cfRule type="expression" priority="147" dxfId="393" stopIfTrue="1">
      <formula>E48="Verlierer 28"</formula>
    </cfRule>
  </conditionalFormatting>
  <conditionalFormatting sqref="L49">
    <cfRule type="expression" priority="148" dxfId="392" stopIfTrue="1">
      <formula>T49+U49&gt;0</formula>
    </cfRule>
    <cfRule type="expression" priority="149" dxfId="393" stopIfTrue="1">
      <formula>D49="Verlierer 29"</formula>
    </cfRule>
    <cfRule type="expression" priority="150" dxfId="393" stopIfTrue="1">
      <formula>E49="Verlierer 30"</formula>
    </cfRule>
  </conditionalFormatting>
  <conditionalFormatting sqref="L50">
    <cfRule type="expression" priority="151" dxfId="392" stopIfTrue="1">
      <formula>T50+U50&gt;0</formula>
    </cfRule>
    <cfRule type="expression" priority="152" dxfId="393" stopIfTrue="1">
      <formula>D50="Verlierer 31"</formula>
    </cfRule>
    <cfRule type="expression" priority="153" dxfId="393" stopIfTrue="1">
      <formula>E50="Verlierer 32"</formula>
    </cfRule>
  </conditionalFormatting>
  <conditionalFormatting sqref="L51">
    <cfRule type="expression" priority="154" dxfId="392" stopIfTrue="1">
      <formula>T51+U51&gt;0</formula>
    </cfRule>
    <cfRule type="expression" priority="155" dxfId="393" stopIfTrue="1">
      <formula>D51="Sieger 1"</formula>
    </cfRule>
    <cfRule type="expression" priority="156" dxfId="393" stopIfTrue="1">
      <formula>E51="Sieger 2"</formula>
    </cfRule>
  </conditionalFormatting>
  <conditionalFormatting sqref="L52">
    <cfRule type="expression" priority="157" dxfId="392" stopIfTrue="1">
      <formula>T52+U52&gt;0</formula>
    </cfRule>
    <cfRule type="expression" priority="158" dxfId="393" stopIfTrue="1">
      <formula>D52="Sieger 3"</formula>
    </cfRule>
    <cfRule type="expression" priority="159" dxfId="393" stopIfTrue="1">
      <formula>E52="Sieger 4"</formula>
    </cfRule>
  </conditionalFormatting>
  <conditionalFormatting sqref="L53">
    <cfRule type="expression" priority="160" dxfId="392" stopIfTrue="1">
      <formula>T53+U53&gt;0</formula>
    </cfRule>
    <cfRule type="expression" priority="161" dxfId="393" stopIfTrue="1">
      <formula>D53="Sieger 5"</formula>
    </cfRule>
    <cfRule type="expression" priority="162" dxfId="393" stopIfTrue="1">
      <formula>E53="Sieger 6"</formula>
    </cfRule>
  </conditionalFormatting>
  <conditionalFormatting sqref="L54">
    <cfRule type="expression" priority="163" dxfId="392" stopIfTrue="1">
      <formula>T54+U54&gt;0</formula>
    </cfRule>
    <cfRule type="expression" priority="164" dxfId="393" stopIfTrue="1">
      <formula>D54="Sieger 7"</formula>
    </cfRule>
    <cfRule type="expression" priority="165" dxfId="393" stopIfTrue="1">
      <formula>E54="Sieger 8"</formula>
    </cfRule>
  </conditionalFormatting>
  <conditionalFormatting sqref="L55">
    <cfRule type="expression" priority="166" dxfId="392" stopIfTrue="1">
      <formula>T55+U55&gt;0</formula>
    </cfRule>
    <cfRule type="expression" priority="167" dxfId="393" stopIfTrue="1">
      <formula>D55="Sieger 9"</formula>
    </cfRule>
    <cfRule type="expression" priority="168" dxfId="393" stopIfTrue="1">
      <formula>E55="Sieger 10"</formula>
    </cfRule>
  </conditionalFormatting>
  <conditionalFormatting sqref="L56">
    <cfRule type="expression" priority="169" dxfId="392" stopIfTrue="1">
      <formula>T56+U56&gt;0</formula>
    </cfRule>
    <cfRule type="expression" priority="170" dxfId="393" stopIfTrue="1">
      <formula>D56="Sieger 11"</formula>
    </cfRule>
    <cfRule type="expression" priority="171" dxfId="393" stopIfTrue="1">
      <formula>E56="Sieger 12"</formula>
    </cfRule>
  </conditionalFormatting>
  <conditionalFormatting sqref="L57">
    <cfRule type="expression" priority="172" dxfId="392" stopIfTrue="1">
      <formula>T57+U57&gt;0</formula>
    </cfRule>
    <cfRule type="expression" priority="173" dxfId="393" stopIfTrue="1">
      <formula>D57="Sieger 13"</formula>
    </cfRule>
    <cfRule type="expression" priority="174" dxfId="393" stopIfTrue="1">
      <formula>E57="Sieger 14"</formula>
    </cfRule>
  </conditionalFormatting>
  <conditionalFormatting sqref="L58">
    <cfRule type="expression" priority="175" dxfId="392" stopIfTrue="1">
      <formula>T58+U58&gt;0</formula>
    </cfRule>
    <cfRule type="expression" priority="176" dxfId="393" stopIfTrue="1">
      <formula>D58="Sieger 15"</formula>
    </cfRule>
    <cfRule type="expression" priority="177" dxfId="393" stopIfTrue="1">
      <formula>E58="Sieger 16"</formula>
    </cfRule>
  </conditionalFormatting>
  <conditionalFormatting sqref="L59">
    <cfRule type="expression" priority="178" dxfId="392" stopIfTrue="1">
      <formula>T59+U59&gt;0</formula>
    </cfRule>
    <cfRule type="expression" priority="179" dxfId="393" stopIfTrue="1">
      <formula>D59="Sieger 17"</formula>
    </cfRule>
    <cfRule type="expression" priority="180" dxfId="393" stopIfTrue="1">
      <formula>E59="Sieger 18"</formula>
    </cfRule>
  </conditionalFormatting>
  <conditionalFormatting sqref="L60">
    <cfRule type="expression" priority="181" dxfId="392" stopIfTrue="1">
      <formula>T60+U60&gt;0</formula>
    </cfRule>
    <cfRule type="expression" priority="182" dxfId="393" stopIfTrue="1">
      <formula>D60="Sieger 19"</formula>
    </cfRule>
    <cfRule type="expression" priority="183" dxfId="393" stopIfTrue="1">
      <formula>E60="Sieger 20"</formula>
    </cfRule>
  </conditionalFormatting>
  <conditionalFormatting sqref="L61">
    <cfRule type="expression" priority="184" dxfId="392" stopIfTrue="1">
      <formula>T61+U61&gt;0</formula>
    </cfRule>
    <cfRule type="expression" priority="185" dxfId="393" stopIfTrue="1">
      <formula>D61="Sieger 21"</formula>
    </cfRule>
    <cfRule type="expression" priority="186" dxfId="393" stopIfTrue="1">
      <formula>E61="Sieger 22"</formula>
    </cfRule>
  </conditionalFormatting>
  <conditionalFormatting sqref="L62">
    <cfRule type="expression" priority="187" dxfId="392" stopIfTrue="1">
      <formula>T62+U62&gt;0</formula>
    </cfRule>
    <cfRule type="expression" priority="188" dxfId="393" stopIfTrue="1">
      <formula>D62="Sieger 23"</formula>
    </cfRule>
    <cfRule type="expression" priority="189" dxfId="393" stopIfTrue="1">
      <formula>E62="Sieger 24"</formula>
    </cfRule>
  </conditionalFormatting>
  <conditionalFormatting sqref="L63">
    <cfRule type="expression" priority="190" dxfId="392" stopIfTrue="1">
      <formula>T63+U63&gt;0</formula>
    </cfRule>
    <cfRule type="expression" priority="191" dxfId="393" stopIfTrue="1">
      <formula>D63="Sieger 25"</formula>
    </cfRule>
    <cfRule type="expression" priority="192" dxfId="393" stopIfTrue="1">
      <formula>E63="Sieger 26"</formula>
    </cfRule>
  </conditionalFormatting>
  <conditionalFormatting sqref="L64">
    <cfRule type="expression" priority="193" dxfId="392" stopIfTrue="1">
      <formula>T64+U64&gt;0</formula>
    </cfRule>
    <cfRule type="expression" priority="194" dxfId="393" stopIfTrue="1">
      <formula>D64="Sieger 27"</formula>
    </cfRule>
    <cfRule type="expression" priority="195" dxfId="393" stopIfTrue="1">
      <formula>E64="Sieger 28"</formula>
    </cfRule>
  </conditionalFormatting>
  <conditionalFormatting sqref="L65">
    <cfRule type="expression" priority="196" dxfId="392" stopIfTrue="1">
      <formula>T65+U65&gt;0</formula>
    </cfRule>
    <cfRule type="expression" priority="197" dxfId="393" stopIfTrue="1">
      <formula>D65="Sieger 29"</formula>
    </cfRule>
    <cfRule type="expression" priority="198" dxfId="393" stopIfTrue="1">
      <formula>E65="Sieger 30"</formula>
    </cfRule>
  </conditionalFormatting>
  <conditionalFormatting sqref="L66">
    <cfRule type="expression" priority="199" dxfId="392" stopIfTrue="1">
      <formula>T66+U66&gt;0</formula>
    </cfRule>
    <cfRule type="expression" priority="200" dxfId="393" stopIfTrue="1">
      <formula>D66="Sieger 31"</formula>
    </cfRule>
    <cfRule type="expression" priority="201" dxfId="393" stopIfTrue="1">
      <formula>E66="Sieger 32"</formula>
    </cfRule>
  </conditionalFormatting>
  <conditionalFormatting sqref="L67">
    <cfRule type="expression" priority="202" dxfId="392" stopIfTrue="1">
      <formula>T67+U67&gt;0</formula>
    </cfRule>
    <cfRule type="expression" priority="203" dxfId="393" stopIfTrue="1">
      <formula>D67="Sieger 33"</formula>
    </cfRule>
    <cfRule type="expression" priority="204" dxfId="393" stopIfTrue="1">
      <formula>E67="Verlierer 64"</formula>
    </cfRule>
  </conditionalFormatting>
  <conditionalFormatting sqref="L68">
    <cfRule type="expression" priority="205" dxfId="392" stopIfTrue="1">
      <formula>T68+U68&gt;0</formula>
    </cfRule>
    <cfRule type="expression" priority="206" dxfId="393" stopIfTrue="1">
      <formula>D68="Sieger 34"</formula>
    </cfRule>
    <cfRule type="expression" priority="207" dxfId="393" stopIfTrue="1">
      <formula>E68="Verlierer 63"</formula>
    </cfRule>
  </conditionalFormatting>
  <conditionalFormatting sqref="L69">
    <cfRule type="expression" priority="208" dxfId="392" stopIfTrue="1">
      <formula>T69+U69&gt;0</formula>
    </cfRule>
    <cfRule type="expression" priority="209" dxfId="393" stopIfTrue="1">
      <formula>D69="Sieger 35"</formula>
    </cfRule>
    <cfRule type="expression" priority="210" dxfId="393" stopIfTrue="1">
      <formula>E69="Verlierer 62"</formula>
    </cfRule>
  </conditionalFormatting>
  <conditionalFormatting sqref="L70">
    <cfRule type="expression" priority="211" dxfId="392" stopIfTrue="1">
      <formula>T70+U70&gt;0</formula>
    </cfRule>
    <cfRule type="expression" priority="212" dxfId="393" stopIfTrue="1">
      <formula>D70="Sieger 36"</formula>
    </cfRule>
    <cfRule type="expression" priority="213" dxfId="393" stopIfTrue="1">
      <formula>E70="Verlierer 61"</formula>
    </cfRule>
  </conditionalFormatting>
  <conditionalFormatting sqref="L71">
    <cfRule type="expression" priority="214" dxfId="392" stopIfTrue="1">
      <formula>T71+U71&gt;0</formula>
    </cfRule>
    <cfRule type="expression" priority="215" dxfId="393" stopIfTrue="1">
      <formula>D71="Sieger 37"</formula>
    </cfRule>
    <cfRule type="expression" priority="216" dxfId="393" stopIfTrue="1">
      <formula>E71="Verlierer 60"</formula>
    </cfRule>
  </conditionalFormatting>
  <conditionalFormatting sqref="L72">
    <cfRule type="expression" priority="217" dxfId="392" stopIfTrue="1">
      <formula>T72+U72&gt;0</formula>
    </cfRule>
    <cfRule type="expression" priority="218" dxfId="393" stopIfTrue="1">
      <formula>D72="Sieger 38"</formula>
    </cfRule>
    <cfRule type="expression" priority="219" dxfId="393" stopIfTrue="1">
      <formula>E72="Verlierer 59"</formula>
    </cfRule>
  </conditionalFormatting>
  <conditionalFormatting sqref="L73">
    <cfRule type="expression" priority="220" dxfId="392" stopIfTrue="1">
      <formula>T73+U73&gt;0</formula>
    </cfRule>
    <cfRule type="expression" priority="221" dxfId="393" stopIfTrue="1">
      <formula>D73="Sieger 39"</formula>
    </cfRule>
    <cfRule type="expression" priority="222" dxfId="393" stopIfTrue="1">
      <formula>E73="Verlierer 58"</formula>
    </cfRule>
  </conditionalFormatting>
  <conditionalFormatting sqref="L74">
    <cfRule type="expression" priority="223" dxfId="392" stopIfTrue="1">
      <formula>T74+U74&gt;0</formula>
    </cfRule>
    <cfRule type="expression" priority="224" dxfId="393" stopIfTrue="1">
      <formula>D74="Sieger 40"</formula>
    </cfRule>
    <cfRule type="expression" priority="225" dxfId="393" stopIfTrue="1">
      <formula>E74="Verlierer 57"</formula>
    </cfRule>
  </conditionalFormatting>
  <conditionalFormatting sqref="L75">
    <cfRule type="expression" priority="226" dxfId="392" stopIfTrue="1">
      <formula>T75+U75&gt;0</formula>
    </cfRule>
    <cfRule type="expression" priority="227" dxfId="393" stopIfTrue="1">
      <formula>D75="Sieger 41"</formula>
    </cfRule>
    <cfRule type="expression" priority="228" dxfId="393" stopIfTrue="1">
      <formula>E75="Verlierer 56"</formula>
    </cfRule>
  </conditionalFormatting>
  <conditionalFormatting sqref="L76">
    <cfRule type="expression" priority="229" dxfId="392" stopIfTrue="1">
      <formula>T76+U76&gt;0</formula>
    </cfRule>
    <cfRule type="expression" priority="230" dxfId="393" stopIfTrue="1">
      <formula>D76="Sieger 42"</formula>
    </cfRule>
    <cfRule type="expression" priority="231" dxfId="393" stopIfTrue="1">
      <formula>E76="Verlierer 55"</formula>
    </cfRule>
  </conditionalFormatting>
  <conditionalFormatting sqref="L77">
    <cfRule type="expression" priority="232" dxfId="392" stopIfTrue="1">
      <formula>T77+U77&gt;0</formula>
    </cfRule>
    <cfRule type="expression" priority="233" dxfId="393" stopIfTrue="1">
      <formula>D77="Sieger 43"</formula>
    </cfRule>
    <cfRule type="expression" priority="234" dxfId="393" stopIfTrue="1">
      <formula>E77="Verlierer 54"</formula>
    </cfRule>
  </conditionalFormatting>
  <conditionalFormatting sqref="L78">
    <cfRule type="expression" priority="235" dxfId="392" stopIfTrue="1">
      <formula>T78+U78&gt;0</formula>
    </cfRule>
    <cfRule type="expression" priority="236" dxfId="393" stopIfTrue="1">
      <formula>D78="Sieger 44"</formula>
    </cfRule>
    <cfRule type="expression" priority="237" dxfId="393" stopIfTrue="1">
      <formula>E78="Verlierer 53"</formula>
    </cfRule>
  </conditionalFormatting>
  <conditionalFormatting sqref="L79">
    <cfRule type="expression" priority="238" dxfId="392" stopIfTrue="1">
      <formula>T79+U79&gt;0</formula>
    </cfRule>
    <cfRule type="expression" priority="239" dxfId="393" stopIfTrue="1">
      <formula>D79="Sieger 45"</formula>
    </cfRule>
    <cfRule type="expression" priority="240" dxfId="393" stopIfTrue="1">
      <formula>E79="Verlierer 52"</formula>
    </cfRule>
  </conditionalFormatting>
  <conditionalFormatting sqref="L80">
    <cfRule type="expression" priority="241" dxfId="392" stopIfTrue="1">
      <formula>T80+U80&gt;0</formula>
    </cfRule>
    <cfRule type="expression" priority="242" dxfId="393" stopIfTrue="1">
      <formula>D80="Sieger 46"</formula>
    </cfRule>
    <cfRule type="expression" priority="243" dxfId="393" stopIfTrue="1">
      <formula>E80="Verlierer 51"</formula>
    </cfRule>
  </conditionalFormatting>
  <conditionalFormatting sqref="L81">
    <cfRule type="expression" priority="244" dxfId="392" stopIfTrue="1">
      <formula>T81+U81&gt;0</formula>
    </cfRule>
    <cfRule type="expression" priority="245" dxfId="393" stopIfTrue="1">
      <formula>D81="Sieger 47"</formula>
    </cfRule>
    <cfRule type="expression" priority="246" dxfId="393" stopIfTrue="1">
      <formula>E81="Verlierer 50"</formula>
    </cfRule>
  </conditionalFormatting>
  <conditionalFormatting sqref="L82">
    <cfRule type="expression" priority="247" dxfId="392" stopIfTrue="1">
      <formula>T82+U82&gt;0</formula>
    </cfRule>
    <cfRule type="expression" priority="248" dxfId="393" stopIfTrue="1">
      <formula>D82="Sieger 48"</formula>
    </cfRule>
    <cfRule type="expression" priority="249" dxfId="393" stopIfTrue="1">
      <formula>E82="Verlierer 49"</formula>
    </cfRule>
  </conditionalFormatting>
  <conditionalFormatting sqref="L83">
    <cfRule type="expression" priority="250" dxfId="392" stopIfTrue="1">
      <formula>T83+U83&gt;0</formula>
    </cfRule>
    <cfRule type="expression" priority="251" dxfId="393" stopIfTrue="1">
      <formula>D83="Sieger 65"</formula>
    </cfRule>
    <cfRule type="expression" priority="252" dxfId="393" stopIfTrue="1">
      <formula>E83="Sieger 66"</formula>
    </cfRule>
  </conditionalFormatting>
  <conditionalFormatting sqref="L84">
    <cfRule type="expression" priority="253" dxfId="392" stopIfTrue="1">
      <formula>T84+U84&gt;0</formula>
    </cfRule>
    <cfRule type="expression" priority="254" dxfId="393" stopIfTrue="1">
      <formula>D84="Sieger 67"</formula>
    </cfRule>
    <cfRule type="expression" priority="255" dxfId="393" stopIfTrue="1">
      <formula>E84="Sieger 68"</formula>
    </cfRule>
  </conditionalFormatting>
  <conditionalFormatting sqref="L85">
    <cfRule type="expression" priority="256" dxfId="392" stopIfTrue="1">
      <formula>T85+U85&gt;0</formula>
    </cfRule>
    <cfRule type="expression" priority="257" dxfId="393" stopIfTrue="1">
      <formula>D85="Sieger 69"</formula>
    </cfRule>
    <cfRule type="expression" priority="258" dxfId="393" stopIfTrue="1">
      <formula>E85="Sieger 70"</formula>
    </cfRule>
  </conditionalFormatting>
  <conditionalFormatting sqref="L86">
    <cfRule type="expression" priority="259" dxfId="392" stopIfTrue="1">
      <formula>T86+U86&gt;0</formula>
    </cfRule>
    <cfRule type="expression" priority="260" dxfId="393" stopIfTrue="1">
      <formula>D86="Sieger 71"</formula>
    </cfRule>
    <cfRule type="expression" priority="261" dxfId="393" stopIfTrue="1">
      <formula>E86="Sieger 72"</formula>
    </cfRule>
  </conditionalFormatting>
  <conditionalFormatting sqref="L87">
    <cfRule type="expression" priority="262" dxfId="392" stopIfTrue="1">
      <formula>T87+U87&gt;0</formula>
    </cfRule>
    <cfRule type="expression" priority="263" dxfId="393" stopIfTrue="1">
      <formula>D87="Sieger 73"</formula>
    </cfRule>
    <cfRule type="expression" priority="264" dxfId="393" stopIfTrue="1">
      <formula>E87="Sieger 74"</formula>
    </cfRule>
  </conditionalFormatting>
  <conditionalFormatting sqref="L88">
    <cfRule type="expression" priority="265" dxfId="392" stopIfTrue="1">
      <formula>T88+U88&gt;0</formula>
    </cfRule>
    <cfRule type="expression" priority="266" dxfId="393" stopIfTrue="1">
      <formula>D88="Sieger 75"</formula>
    </cfRule>
    <cfRule type="expression" priority="267" dxfId="393" stopIfTrue="1">
      <formula>E88="Sieger 76"</formula>
    </cfRule>
  </conditionalFormatting>
  <conditionalFormatting sqref="L89">
    <cfRule type="expression" priority="268" dxfId="392" stopIfTrue="1">
      <formula>T89+U89&gt;0</formula>
    </cfRule>
    <cfRule type="expression" priority="269" dxfId="393" stopIfTrue="1">
      <formula>D89="Sieger 77"</formula>
    </cfRule>
    <cfRule type="expression" priority="270" dxfId="393" stopIfTrue="1">
      <formula>E89="Sieger 78"</formula>
    </cfRule>
  </conditionalFormatting>
  <conditionalFormatting sqref="L90">
    <cfRule type="expression" priority="271" dxfId="392" stopIfTrue="1">
      <formula>T90+U90&gt;0</formula>
    </cfRule>
    <cfRule type="expression" priority="272" dxfId="393" stopIfTrue="1">
      <formula>D90="Sieger 79"</formula>
    </cfRule>
    <cfRule type="expression" priority="273" dxfId="393" stopIfTrue="1">
      <formula>E90="Sieger 80"</formula>
    </cfRule>
  </conditionalFormatting>
  <conditionalFormatting sqref="L91">
    <cfRule type="expression" priority="274" dxfId="392" stopIfTrue="1">
      <formula>T91+U91&gt;0</formula>
    </cfRule>
    <cfRule type="expression" priority="275" dxfId="393" stopIfTrue="1">
      <formula>D91="Sieger 49"</formula>
    </cfRule>
    <cfRule type="expression" priority="276" dxfId="393" stopIfTrue="1">
      <formula>E91="Sieger 50"</formula>
    </cfRule>
  </conditionalFormatting>
  <conditionalFormatting sqref="L92">
    <cfRule type="expression" priority="277" dxfId="392" stopIfTrue="1">
      <formula>T92+U92&gt;0</formula>
    </cfRule>
    <cfRule type="expression" priority="278" dxfId="393" stopIfTrue="1">
      <formula>D92="Sieger 51"</formula>
    </cfRule>
    <cfRule type="expression" priority="279" dxfId="393" stopIfTrue="1">
      <formula>E92="Sieger 52"</formula>
    </cfRule>
  </conditionalFormatting>
  <conditionalFormatting sqref="L93">
    <cfRule type="expression" priority="280" dxfId="392" stopIfTrue="1">
      <formula>T93+U93&gt;0</formula>
    </cfRule>
    <cfRule type="expression" priority="281" dxfId="393" stopIfTrue="1">
      <formula>D93="Sieger 53"</formula>
    </cfRule>
    <cfRule type="expression" priority="282" dxfId="393" stopIfTrue="1">
      <formula>E93="Sieger 54"</formula>
    </cfRule>
  </conditionalFormatting>
  <conditionalFormatting sqref="L94">
    <cfRule type="expression" priority="283" dxfId="392" stopIfTrue="1">
      <formula>T94+U94&gt;0</formula>
    </cfRule>
    <cfRule type="expression" priority="284" dxfId="393" stopIfTrue="1">
      <formula>D94="Sieger 55"</formula>
    </cfRule>
    <cfRule type="expression" priority="285" dxfId="393" stopIfTrue="1">
      <formula>E94="Sieger 56"</formula>
    </cfRule>
  </conditionalFormatting>
  <conditionalFormatting sqref="L95">
    <cfRule type="expression" priority="286" dxfId="392" stopIfTrue="1">
      <formula>T95+U95&gt;0</formula>
    </cfRule>
    <cfRule type="expression" priority="287" dxfId="393" stopIfTrue="1">
      <formula>D95="Sieger 57"</formula>
    </cfRule>
    <cfRule type="expression" priority="288" dxfId="393" stopIfTrue="1">
      <formula>E95="Sieger 58"</formula>
    </cfRule>
  </conditionalFormatting>
  <conditionalFormatting sqref="L96">
    <cfRule type="expression" priority="289" dxfId="392" stopIfTrue="1">
      <formula>T96+U96&gt;0</formula>
    </cfRule>
    <cfRule type="expression" priority="290" dxfId="393" stopIfTrue="1">
      <formula>D96="Sieger 59"</formula>
    </cfRule>
    <cfRule type="expression" priority="291" dxfId="393" stopIfTrue="1">
      <formula>E96="Sieger 60"</formula>
    </cfRule>
  </conditionalFormatting>
  <conditionalFormatting sqref="L97">
    <cfRule type="expression" priority="292" dxfId="392" stopIfTrue="1">
      <formula>T97+U97&gt;0</formula>
    </cfRule>
    <cfRule type="expression" priority="293" dxfId="393" stopIfTrue="1">
      <formula>D97="Sieger 61"</formula>
    </cfRule>
    <cfRule type="expression" priority="294" dxfId="393" stopIfTrue="1">
      <formula>E97="Sieger 62"</formula>
    </cfRule>
  </conditionalFormatting>
  <conditionalFormatting sqref="L98">
    <cfRule type="expression" priority="295" dxfId="392" stopIfTrue="1">
      <formula>T98+U98&gt;0</formula>
    </cfRule>
    <cfRule type="expression" priority="296" dxfId="393" stopIfTrue="1">
      <formula>D98="Sieger 63"</formula>
    </cfRule>
    <cfRule type="expression" priority="297" dxfId="393" stopIfTrue="1">
      <formula>E98="Sieger 64"</formula>
    </cfRule>
  </conditionalFormatting>
  <conditionalFormatting sqref="L99">
    <cfRule type="expression" priority="298" dxfId="392" stopIfTrue="1">
      <formula>T99+U99&gt;0</formula>
    </cfRule>
    <cfRule type="expression" priority="299" dxfId="393" stopIfTrue="1">
      <formula>D99="Sieger 81"</formula>
    </cfRule>
    <cfRule type="expression" priority="300" dxfId="393" stopIfTrue="1">
      <formula>E99="Verlierer 92"</formula>
    </cfRule>
  </conditionalFormatting>
  <conditionalFormatting sqref="L100">
    <cfRule type="expression" priority="301" dxfId="392" stopIfTrue="1">
      <formula>T100+U100&gt;0</formula>
    </cfRule>
    <cfRule type="expression" priority="302" dxfId="393" stopIfTrue="1">
      <formula>D100="Sieger 82"</formula>
    </cfRule>
    <cfRule type="expression" priority="303" dxfId="393" stopIfTrue="1">
      <formula>E100="Verlierer 91"</formula>
    </cfRule>
  </conditionalFormatting>
  <conditionalFormatting sqref="L101">
    <cfRule type="expression" priority="304" dxfId="392" stopIfTrue="1">
      <formula>T101+U101&gt;0</formula>
    </cfRule>
    <cfRule type="expression" priority="305" dxfId="393" stopIfTrue="1">
      <formula>D101="Sieger 83"</formula>
    </cfRule>
    <cfRule type="expression" priority="306" dxfId="393" stopIfTrue="1">
      <formula>E101="Verlierer 90"</formula>
    </cfRule>
  </conditionalFormatting>
  <conditionalFormatting sqref="L102">
    <cfRule type="expression" priority="307" dxfId="392" stopIfTrue="1">
      <formula>T102+U102&gt;0</formula>
    </cfRule>
    <cfRule type="expression" priority="308" dxfId="393" stopIfTrue="1">
      <formula>D102="Sieger 84"</formula>
    </cfRule>
    <cfRule type="expression" priority="309" dxfId="393" stopIfTrue="1">
      <formula>E102="Verlierer 89"</formula>
    </cfRule>
  </conditionalFormatting>
  <conditionalFormatting sqref="L103">
    <cfRule type="expression" priority="310" dxfId="392" stopIfTrue="1">
      <formula>T103+U103&gt;0</formula>
    </cfRule>
    <cfRule type="expression" priority="311" dxfId="393" stopIfTrue="1">
      <formula>D103="Sieger 85"</formula>
    </cfRule>
    <cfRule type="expression" priority="312" dxfId="393" stopIfTrue="1">
      <formula>E103="Verlierer 96"</formula>
    </cfRule>
  </conditionalFormatting>
  <conditionalFormatting sqref="L104">
    <cfRule type="expression" priority="313" dxfId="392" stopIfTrue="1">
      <formula>T104+U104&gt;0</formula>
    </cfRule>
    <cfRule type="expression" priority="314" dxfId="393" stopIfTrue="1">
      <formula>D104="Sieger 86"</formula>
    </cfRule>
    <cfRule type="expression" priority="315" dxfId="393" stopIfTrue="1">
      <formula>E104="Verlierer 95"</formula>
    </cfRule>
  </conditionalFormatting>
  <conditionalFormatting sqref="L105">
    <cfRule type="expression" priority="316" dxfId="392" stopIfTrue="1">
      <formula>T105+U105&gt;0</formula>
    </cfRule>
    <cfRule type="expression" priority="317" dxfId="393" stopIfTrue="1">
      <formula>D105="Sieger 87"</formula>
    </cfRule>
    <cfRule type="expression" priority="318" dxfId="393" stopIfTrue="1">
      <formula>E105="Verlierer 94"</formula>
    </cfRule>
  </conditionalFormatting>
  <conditionalFormatting sqref="L106">
    <cfRule type="expression" priority="319" dxfId="392" stopIfTrue="1">
      <formula>T106+U106&gt;0</formula>
    </cfRule>
    <cfRule type="expression" priority="320" dxfId="393" stopIfTrue="1">
      <formula>D106="Sieger 88"</formula>
    </cfRule>
    <cfRule type="expression" priority="321" dxfId="393" stopIfTrue="1">
      <formula>E106="Verlierer 93"</formula>
    </cfRule>
  </conditionalFormatting>
  <conditionalFormatting sqref="L107">
    <cfRule type="expression" priority="322" dxfId="392" stopIfTrue="1">
      <formula>T107+U107&gt;0</formula>
    </cfRule>
    <cfRule type="expression" priority="323" dxfId="393" stopIfTrue="1">
      <formula>D107="Sieger 97"</formula>
    </cfRule>
    <cfRule type="expression" priority="324" dxfId="393" stopIfTrue="1">
      <formula>E107="Sieger 98"</formula>
    </cfRule>
  </conditionalFormatting>
  <conditionalFormatting sqref="L108">
    <cfRule type="expression" priority="325" dxfId="392" stopIfTrue="1">
      <formula>T108+U108&gt;0</formula>
    </cfRule>
    <cfRule type="expression" priority="326" dxfId="393" stopIfTrue="1">
      <formula>D108="Sieger 99"</formula>
    </cfRule>
    <cfRule type="expression" priority="327" dxfId="393" stopIfTrue="1">
      <formula>E108="Sieger 100"</formula>
    </cfRule>
  </conditionalFormatting>
  <conditionalFormatting sqref="L109">
    <cfRule type="expression" priority="328" dxfId="392" stopIfTrue="1">
      <formula>T109+U109&gt;0</formula>
    </cfRule>
    <cfRule type="expression" priority="329" dxfId="393" stopIfTrue="1">
      <formula>D109="Sieger 101"</formula>
    </cfRule>
    <cfRule type="expression" priority="330" dxfId="393" stopIfTrue="1">
      <formula>E109="Sieger 102"</formula>
    </cfRule>
  </conditionalFormatting>
  <conditionalFormatting sqref="L110">
    <cfRule type="expression" priority="331" dxfId="392" stopIfTrue="1">
      <formula>T110+U110&gt;0</formula>
    </cfRule>
    <cfRule type="expression" priority="332" dxfId="393" stopIfTrue="1">
      <formula>D110="Sieger 103"</formula>
    </cfRule>
    <cfRule type="expression" priority="333" dxfId="393" stopIfTrue="1">
      <formula>E110="Sieger 104"</formula>
    </cfRule>
  </conditionalFormatting>
  <conditionalFormatting sqref="L111">
    <cfRule type="expression" priority="334" dxfId="392" stopIfTrue="1">
      <formula>T111+U111&gt;0</formula>
    </cfRule>
    <cfRule type="expression" priority="335" dxfId="393" stopIfTrue="1">
      <formula>D111="Sieger 89"</formula>
    </cfRule>
    <cfRule type="expression" priority="336" dxfId="393" stopIfTrue="1">
      <formula>E111="Sieger 90"</formula>
    </cfRule>
  </conditionalFormatting>
  <conditionalFormatting sqref="L112">
    <cfRule type="expression" priority="337" dxfId="392" stopIfTrue="1">
      <formula>T112+U112&gt;0</formula>
    </cfRule>
    <cfRule type="expression" priority="338" dxfId="393" stopIfTrue="1">
      <formula>D112="Sieger 91"</formula>
    </cfRule>
    <cfRule type="expression" priority="339" dxfId="393" stopIfTrue="1">
      <formula>E112="Sieger 92"</formula>
    </cfRule>
  </conditionalFormatting>
  <conditionalFormatting sqref="L113">
    <cfRule type="expression" priority="340" dxfId="392" stopIfTrue="1">
      <formula>T113+U113&gt;0</formula>
    </cfRule>
    <cfRule type="expression" priority="341" dxfId="393" stopIfTrue="1">
      <formula>D113="Sieger 93"</formula>
    </cfRule>
    <cfRule type="expression" priority="342" dxfId="393" stopIfTrue="1">
      <formula>E113="Sieger 94"</formula>
    </cfRule>
  </conditionalFormatting>
  <conditionalFormatting sqref="L114">
    <cfRule type="expression" priority="343" dxfId="392" stopIfTrue="1">
      <formula>T114+U114&gt;0</formula>
    </cfRule>
    <cfRule type="expression" priority="344" dxfId="393" stopIfTrue="1">
      <formula>D114="Sieger 95"</formula>
    </cfRule>
    <cfRule type="expression" priority="345" dxfId="393" stopIfTrue="1">
      <formula>E114="Sieger 96"</formula>
    </cfRule>
  </conditionalFormatting>
  <conditionalFormatting sqref="L115">
    <cfRule type="expression" priority="346" dxfId="392" stopIfTrue="1">
      <formula>T115+U115&gt;0</formula>
    </cfRule>
    <cfRule type="expression" priority="347" dxfId="393" stopIfTrue="1">
      <formula>D115="Sieger 105"</formula>
    </cfRule>
    <cfRule type="expression" priority="348" dxfId="393" stopIfTrue="1">
      <formula>E115="Verlierer 111"</formula>
    </cfRule>
  </conditionalFormatting>
  <conditionalFormatting sqref="L116">
    <cfRule type="expression" priority="349" dxfId="392" stopIfTrue="1">
      <formula>T116+U116&gt;0</formula>
    </cfRule>
    <cfRule type="expression" priority="350" dxfId="393" stopIfTrue="1">
      <formula>D116="Sieger 106"</formula>
    </cfRule>
    <cfRule type="expression" priority="351" dxfId="393" stopIfTrue="1">
      <formula>E116="Verlierer 112"</formula>
    </cfRule>
  </conditionalFormatting>
  <conditionalFormatting sqref="L117">
    <cfRule type="expression" priority="352" dxfId="392" stopIfTrue="1">
      <formula>T117+U117&gt;0</formula>
    </cfRule>
    <cfRule type="expression" priority="353" dxfId="393" stopIfTrue="1">
      <formula>D117="Sieger 107"</formula>
    </cfRule>
    <cfRule type="expression" priority="354" dxfId="393" stopIfTrue="1">
      <formula>E117="Verlierer 109"</formula>
    </cfRule>
  </conditionalFormatting>
  <conditionalFormatting sqref="L118">
    <cfRule type="expression" priority="355" dxfId="392" stopIfTrue="1">
      <formula>T118+U118&gt;0</formula>
    </cfRule>
    <cfRule type="expression" priority="356" dxfId="393" stopIfTrue="1">
      <formula>D118="Sieger 108"</formula>
    </cfRule>
    <cfRule type="expression" priority="357" dxfId="393" stopIfTrue="1">
      <formula>E118="Verlierer 110"</formula>
    </cfRule>
  </conditionalFormatting>
  <conditionalFormatting sqref="L119">
    <cfRule type="expression" priority="358" dxfId="392" stopIfTrue="1">
      <formula>T119+U119&gt;0</formula>
    </cfRule>
    <cfRule type="expression" priority="359" dxfId="393" stopIfTrue="1">
      <formula>D119="Sieger 113"</formula>
    </cfRule>
    <cfRule type="expression" priority="360" dxfId="393" stopIfTrue="1">
      <formula>E119="Sieger 114"</formula>
    </cfRule>
  </conditionalFormatting>
  <conditionalFormatting sqref="L120">
    <cfRule type="expression" priority="361" dxfId="392" stopIfTrue="1">
      <formula>T120+U120&gt;0</formula>
    </cfRule>
    <cfRule type="expression" priority="362" dxfId="393" stopIfTrue="1">
      <formula>D120="Sieger 115"</formula>
    </cfRule>
    <cfRule type="expression" priority="363" dxfId="393" stopIfTrue="1">
      <formula>E120="Sieger 116"</formula>
    </cfRule>
  </conditionalFormatting>
  <conditionalFormatting sqref="L121">
    <cfRule type="expression" priority="364" dxfId="392" stopIfTrue="1">
      <formula>T121+U121&gt;0</formula>
    </cfRule>
    <cfRule type="expression" priority="365" dxfId="393" stopIfTrue="1">
      <formula>D121="Sieger 109"</formula>
    </cfRule>
    <cfRule type="expression" priority="366" dxfId="393" stopIfTrue="1">
      <formula>E121="Sieger 110"</formula>
    </cfRule>
  </conditionalFormatting>
  <conditionalFormatting sqref="L122">
    <cfRule type="expression" priority="367" dxfId="392" stopIfTrue="1">
      <formula>T122+U122&gt;0</formula>
    </cfRule>
    <cfRule type="expression" priority="368" dxfId="393" stopIfTrue="1">
      <formula>D122="Sieger 111"</formula>
    </cfRule>
    <cfRule type="expression" priority="369" dxfId="393" stopIfTrue="1">
      <formula>E122="Sieger 112"</formula>
    </cfRule>
  </conditionalFormatting>
  <conditionalFormatting sqref="L123">
    <cfRule type="expression" priority="370" dxfId="392" stopIfTrue="1">
      <formula>T123+U123&gt;0</formula>
    </cfRule>
    <cfRule type="expression" priority="371" dxfId="393" stopIfTrue="1">
      <formula>D123="Sieger 117"</formula>
    </cfRule>
    <cfRule type="expression" priority="372" dxfId="393" stopIfTrue="1">
      <formula>E123="Verlierer 119"</formula>
    </cfRule>
  </conditionalFormatting>
  <conditionalFormatting sqref="L124">
    <cfRule type="expression" priority="373" dxfId="392" stopIfTrue="1">
      <formula>T124+U124&gt;0</formula>
    </cfRule>
    <cfRule type="expression" priority="374" dxfId="393" stopIfTrue="1">
      <formula>D124="Sieger 118"</formula>
    </cfRule>
    <cfRule type="expression" priority="375" dxfId="393" stopIfTrue="1">
      <formula>E124="Verlierer 120"</formula>
    </cfRule>
  </conditionalFormatting>
  <conditionalFormatting sqref="L125">
    <cfRule type="expression" priority="376" dxfId="392" stopIfTrue="1">
      <formula>T125+U125&gt;0</formula>
    </cfRule>
    <cfRule type="expression" priority="377" dxfId="393" stopIfTrue="1">
      <formula>D125="Sieger 121"</formula>
    </cfRule>
    <cfRule type="expression" priority="378" dxfId="393" stopIfTrue="1">
      <formula>E125="Sieger 122"</formula>
    </cfRule>
  </conditionalFormatting>
  <conditionalFormatting sqref="L126">
    <cfRule type="expression" priority="379" dxfId="392" stopIfTrue="1">
      <formula>T126+U126&gt;0</formula>
    </cfRule>
    <cfRule type="expression" priority="380" dxfId="393" stopIfTrue="1">
      <formula>D126="Sieger 119"</formula>
    </cfRule>
    <cfRule type="expression" priority="381" dxfId="393" stopIfTrue="1">
      <formula>E126="Sieger 120"</formula>
    </cfRule>
  </conditionalFormatting>
  <conditionalFormatting sqref="L127">
    <cfRule type="expression" priority="382" dxfId="392" stopIfTrue="1">
      <formula>T127+U127&gt;0</formula>
    </cfRule>
    <cfRule type="expression" priority="383" dxfId="393" stopIfTrue="1">
      <formula>D127="Sieger 123"</formula>
    </cfRule>
    <cfRule type="expression" priority="384" dxfId="393" stopIfTrue="1">
      <formula>E127="Verlierer 124"</formula>
    </cfRule>
  </conditionalFormatting>
  <conditionalFormatting sqref="L128">
    <cfRule type="expression" priority="385" dxfId="392" stopIfTrue="1">
      <formula>T128+U128&gt;0</formula>
    </cfRule>
    <cfRule type="expression" priority="386" dxfId="393" stopIfTrue="1">
      <formula>D128="Sieger 124"</formula>
    </cfRule>
    <cfRule type="expression" priority="387" dxfId="393" stopIfTrue="1">
      <formula>E128="Sieger 125"</formula>
    </cfRule>
  </conditionalFormatting>
  <conditionalFormatting sqref="L129">
    <cfRule type="expression" priority="388" dxfId="392" stopIfTrue="1">
      <formula>T129+U129&gt;0</formula>
    </cfRule>
    <cfRule type="expression" priority="389" dxfId="393" stopIfTrue="1">
      <formula>D129="Sieger 126"</formula>
    </cfRule>
    <cfRule type="expression" priority="390" dxfId="393" stopIfTrue="1">
      <formula>E129="Verlierer 126"</formula>
    </cfRule>
  </conditionalFormatting>
  <dataValidations count="4">
    <dataValidation type="custom" allowBlank="1" showInputMessage="1" showErrorMessage="1" error="Eingabefehler: Spiele bzw. Punkte müssen bei Eingabe unterschiedlich sein !" sqref="F3:F129">
      <formula1>F3&lt;&gt;G3</formula1>
    </dataValidation>
    <dataValidation type="custom" allowBlank="1" showInputMessage="1" showErrorMessage="1" error="Eingabefehler: Spiele bzw. Punkte müssen bei Eingabe unterschiedlich sein !" sqref="G3:G129">
      <formula1>F3&lt;&gt;G3</formula1>
    </dataValidation>
    <dataValidation type="custom" allowBlank="1" showInputMessage="1" showErrorMessage="1" error="Tisch bereits vergeben - anderen Tisch auswählen !" sqref="L3:L128">
      <formula1>$AW$2&lt;2</formula1>
    </dataValidation>
    <dataValidation type="custom" allowBlank="1" showInputMessage="1" showErrorMessage="1" prompt="Spiel 127 nur notwendig, wenn Sieger Spiel 125 auch Sieger von Spiel 126 ist !!!" error="Tisch bereits vergeben - anderen Tisch auswählen !" sqref="L129">
      <formula1>$AW$2&lt;2</formula1>
    </dataValidation>
  </dataValidations>
  <printOptions/>
  <pageMargins left="0.787401575" right="0.787401575" top="0.984251969" bottom="0.984251969" header="0.4921259845" footer="0.4921259845"/>
  <pageSetup fitToHeight="2" fitToWidth="1" horizontalDpi="300" verticalDpi="300"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B1:AH65"/>
  <sheetViews>
    <sheetView showGridLines="0" showRowColHeaders="0" showOutlineSymbols="0" zoomScale="50" zoomScaleNormal="50" zoomScalePageLayoutView="0" workbookViewId="0" topLeftCell="A1">
      <selection activeCell="G23" sqref="G23"/>
    </sheetView>
  </sheetViews>
  <sheetFormatPr defaultColWidth="11.421875" defaultRowHeight="12.75"/>
  <cols>
    <col min="1" max="1" width="4.7109375" style="0" customWidth="1"/>
    <col min="2" max="2" width="6.8515625" style="0" bestFit="1" customWidth="1"/>
    <col min="4" max="4" width="6.8515625" style="0" bestFit="1" customWidth="1"/>
    <col min="6" max="6" width="6.8515625" style="0" bestFit="1" customWidth="1"/>
    <col min="8" max="8" width="6.8515625" style="0" bestFit="1" customWidth="1"/>
    <col min="10" max="10" width="6.8515625" style="0" bestFit="1" customWidth="1"/>
    <col min="12" max="12" width="4.7109375" style="0" customWidth="1"/>
    <col min="14" max="14" width="4.00390625" style="0" customWidth="1"/>
    <col min="16" max="16" width="4.00390625" style="0" customWidth="1"/>
    <col min="18" max="18" width="4.00390625" style="0" customWidth="1"/>
    <col min="20" max="20" width="4.00390625" style="0" customWidth="1"/>
    <col min="21" max="21" width="5.421875" style="41" bestFit="1" customWidth="1"/>
    <col min="23" max="23" width="4.00390625" style="5" customWidth="1"/>
    <col min="24" max="24" width="5.421875" style="0" bestFit="1" customWidth="1"/>
    <col min="25" max="25" width="11.28125" style="0" customWidth="1"/>
    <col min="26" max="26" width="5.421875" style="0" bestFit="1" customWidth="1"/>
    <col min="28" max="28" width="4.7109375" style="0" customWidth="1"/>
    <col min="30" max="30" width="4.7109375" style="0" customWidth="1"/>
    <col min="32" max="32" width="4.7109375" style="0" customWidth="1"/>
    <col min="34" max="34" width="4.28125" style="0" customWidth="1"/>
  </cols>
  <sheetData>
    <row r="1" ht="13.5" thickBot="1">
      <c r="V1" s="47" t="str">
        <f>SP64!B3</f>
        <v>HR</v>
      </c>
    </row>
    <row r="2" spans="18:26" ht="13.5" thickBot="1">
      <c r="R2" s="41"/>
      <c r="S2" s="47" t="str">
        <f>SP64!B35</f>
        <v>VR1</v>
      </c>
      <c r="T2" s="5"/>
      <c r="U2" s="42">
        <f>SP64!C3</f>
        <v>1</v>
      </c>
      <c r="V2" s="43" t="str">
        <f>SP64!D3</f>
        <v>Spieler 1</v>
      </c>
      <c r="W2" s="44">
        <f>SP64!F3</f>
        <v>0</v>
      </c>
      <c r="X2" s="41"/>
      <c r="Y2" s="47" t="str">
        <f>SP64!B51</f>
        <v>GR1</v>
      </c>
      <c r="Z2" s="5"/>
    </row>
    <row r="3" spans="17:26" ht="13.5" thickBot="1">
      <c r="Q3" s="47" t="str">
        <f>SP64!B67</f>
        <v>VR2</v>
      </c>
      <c r="R3" s="42">
        <f>SP64!C35</f>
        <v>33</v>
      </c>
      <c r="S3" s="43" t="str">
        <f>SP64!D35</f>
        <v>Verlierer 1</v>
      </c>
      <c r="T3" s="44">
        <f>SP64!F35</f>
        <v>0</v>
      </c>
      <c r="V3" s="45" t="str">
        <f>SP64!E3</f>
        <v>Spieler 33</v>
      </c>
      <c r="W3" s="46">
        <f>SP64!G3</f>
        <v>0</v>
      </c>
      <c r="X3" s="42">
        <f>SP64!C51</f>
        <v>49</v>
      </c>
      <c r="Y3" s="43" t="str">
        <f>SP64!D51</f>
        <v>Sieger 1</v>
      </c>
      <c r="Z3" s="44">
        <f>SP64!F51</f>
        <v>0</v>
      </c>
    </row>
    <row r="4" spans="15:27" ht="13.5" thickBot="1">
      <c r="O4" s="47" t="str">
        <f>SP64!B83</f>
        <v>VR3</v>
      </c>
      <c r="P4" s="42">
        <f>SP64!C67</f>
        <v>65</v>
      </c>
      <c r="Q4" s="43" t="str">
        <f>SP64!D67</f>
        <v>Sieger 33</v>
      </c>
      <c r="R4" s="44">
        <f>SP64!F67</f>
        <v>0</v>
      </c>
      <c r="S4" s="45" t="str">
        <f>SP64!E35</f>
        <v>Verlierer 2</v>
      </c>
      <c r="T4" s="46">
        <f>SP64!G35</f>
        <v>0</v>
      </c>
      <c r="U4" s="42">
        <f>SP64!C4</f>
        <v>2</v>
      </c>
      <c r="V4" s="43" t="str">
        <f>SP64!D4</f>
        <v>Spieler 17</v>
      </c>
      <c r="W4" s="44">
        <f>SP64!F4</f>
        <v>0</v>
      </c>
      <c r="X4" s="41"/>
      <c r="Y4" s="45" t="str">
        <f>SP64!E51</f>
        <v>Sieger 2</v>
      </c>
      <c r="Z4" s="46">
        <f>SP64!G51</f>
        <v>0</v>
      </c>
      <c r="AA4" s="47" t="str">
        <f>SP64!B91</f>
        <v>GR2</v>
      </c>
    </row>
    <row r="5" spans="13:28" ht="13.5" thickBot="1">
      <c r="M5" s="47" t="str">
        <f>SP64!B99</f>
        <v>VR4</v>
      </c>
      <c r="N5" s="42">
        <f>SP64!C83</f>
        <v>81</v>
      </c>
      <c r="O5" s="43" t="str">
        <f>SP64!D83</f>
        <v>Sieger 65</v>
      </c>
      <c r="P5" s="44">
        <f>SP64!F83</f>
        <v>0</v>
      </c>
      <c r="Q5" s="45" t="str">
        <f>SP64!E67</f>
        <v>Verlierer 64</v>
      </c>
      <c r="R5" s="46">
        <f>SP64!G67</f>
        <v>0</v>
      </c>
      <c r="S5" s="47" t="s">
        <v>888</v>
      </c>
      <c r="V5" s="45" t="str">
        <f>SP64!E4</f>
        <v>Spieler 49</v>
      </c>
      <c r="W5" s="46">
        <f>SP64!G4</f>
        <v>0</v>
      </c>
      <c r="Y5" s="48" t="s">
        <v>1104</v>
      </c>
      <c r="Z5" s="42">
        <f>SP64!C91</f>
        <v>89</v>
      </c>
      <c r="AA5" s="43" t="str">
        <f>SP64!D91</f>
        <v>Sieger 49</v>
      </c>
      <c r="AB5" s="44">
        <f>SP64!F91</f>
        <v>0</v>
      </c>
    </row>
    <row r="6" spans="12:28" ht="13.5" thickBot="1">
      <c r="L6" s="42">
        <f>SP64!C99</f>
        <v>97</v>
      </c>
      <c r="M6" s="43" t="str">
        <f>SP64!D99</f>
        <v>Sieger 81</v>
      </c>
      <c r="N6" s="44">
        <f>SP64!F99</f>
        <v>0</v>
      </c>
      <c r="O6" s="45" t="str">
        <f>SP64!E83</f>
        <v>Sieger 66</v>
      </c>
      <c r="P6" s="46">
        <f>SP64!G83</f>
        <v>0</v>
      </c>
      <c r="Q6" s="47" t="s">
        <v>889</v>
      </c>
      <c r="U6" s="42">
        <f>SP64!C5</f>
        <v>3</v>
      </c>
      <c r="V6" s="43" t="str">
        <f>SP64!D5</f>
        <v>Spieler 9</v>
      </c>
      <c r="W6" s="44">
        <f>SP64!F5</f>
        <v>0</v>
      </c>
      <c r="Z6" s="41"/>
      <c r="AA6" s="45" t="str">
        <f>SP64!E91</f>
        <v>Sieger 50</v>
      </c>
      <c r="AB6" s="46">
        <f>SP64!G91</f>
        <v>0</v>
      </c>
    </row>
    <row r="7" spans="12:27" ht="13.5" thickBot="1">
      <c r="L7" s="41"/>
      <c r="M7" s="45" t="str">
        <f>SP64!E99</f>
        <v>Verlierer 92</v>
      </c>
      <c r="N7" s="46">
        <f>SP64!G99</f>
        <v>0</v>
      </c>
      <c r="O7" s="47" t="s">
        <v>890</v>
      </c>
      <c r="R7" s="42">
        <f>SP64!C36</f>
        <v>34</v>
      </c>
      <c r="S7" s="43" t="str">
        <f>SP64!D36</f>
        <v>Verlierer 3</v>
      </c>
      <c r="T7" s="44">
        <f>SP64!F36</f>
        <v>0</v>
      </c>
      <c r="V7" s="45" t="str">
        <f>SP64!E5</f>
        <v>Spieler 41</v>
      </c>
      <c r="W7" s="46">
        <f>SP64!G5</f>
        <v>0</v>
      </c>
      <c r="X7" s="42">
        <f>SP64!C52</f>
        <v>50</v>
      </c>
      <c r="Y7" s="43" t="str">
        <f>SP64!D52</f>
        <v>Sieger 3</v>
      </c>
      <c r="Z7" s="44">
        <f>SP64!F52</f>
        <v>0</v>
      </c>
      <c r="AA7" s="48" t="s">
        <v>1108</v>
      </c>
    </row>
    <row r="8" spans="13:29" ht="13.5" thickBot="1">
      <c r="M8" s="47" t="s">
        <v>891</v>
      </c>
      <c r="O8" s="5"/>
      <c r="P8" s="42">
        <f>SP64!C68</f>
        <v>66</v>
      </c>
      <c r="Q8" s="43" t="str">
        <f>SP64!D68</f>
        <v>Sieger 34</v>
      </c>
      <c r="R8" s="44">
        <f>SP64!F68</f>
        <v>0</v>
      </c>
      <c r="S8" s="45" t="str">
        <f>SP64!E36</f>
        <v>Verlierer 4</v>
      </c>
      <c r="T8" s="46">
        <f>SP64!G36</f>
        <v>0</v>
      </c>
      <c r="U8" s="42">
        <f>SP64!C6</f>
        <v>4</v>
      </c>
      <c r="V8" s="43" t="str">
        <f>SP64!D6</f>
        <v>Spieler 25</v>
      </c>
      <c r="W8" s="44">
        <f>SP64!F6</f>
        <v>0</v>
      </c>
      <c r="X8" s="41"/>
      <c r="Y8" s="45" t="str">
        <f>SP64!E52</f>
        <v>Sieger 4</v>
      </c>
      <c r="Z8" s="46">
        <f>SP64!G52</f>
        <v>0</v>
      </c>
      <c r="AC8" s="47" t="str">
        <f>SP64!B111</f>
        <v>GR3</v>
      </c>
    </row>
    <row r="9" spans="11:30" ht="13.5" thickBot="1">
      <c r="K9" s="47" t="str">
        <f>SP64!B107</f>
        <v>VR5</v>
      </c>
      <c r="P9" s="41"/>
      <c r="Q9" s="45" t="str">
        <f>SP64!E68</f>
        <v>Verlierer 63</v>
      </c>
      <c r="R9" s="46">
        <f>SP64!G68</f>
        <v>0</v>
      </c>
      <c r="V9" s="45" t="str">
        <f>SP64!E6</f>
        <v>Spieler 57</v>
      </c>
      <c r="W9" s="46">
        <f>SP64!G6</f>
        <v>0</v>
      </c>
      <c r="Y9" s="48" t="s">
        <v>1103</v>
      </c>
      <c r="AB9" s="42">
        <f>SP64!C111</f>
        <v>109</v>
      </c>
      <c r="AC9" s="43" t="str">
        <f>SP64!D111</f>
        <v>Sieger 89</v>
      </c>
      <c r="AD9" s="44">
        <f>SP64!F111</f>
        <v>0</v>
      </c>
    </row>
    <row r="10" spans="9:30" ht="13.5" thickBot="1">
      <c r="I10" s="47" t="str">
        <f>SP64!B115</f>
        <v>VR6</v>
      </c>
      <c r="J10" s="42">
        <f>SP64!C107</f>
        <v>105</v>
      </c>
      <c r="K10" s="43" t="str">
        <f>SP64!D107</f>
        <v>Sieger 97</v>
      </c>
      <c r="L10" s="44">
        <f>SP64!F107</f>
        <v>0</v>
      </c>
      <c r="Q10" s="5"/>
      <c r="U10" s="42">
        <f>SP64!C7</f>
        <v>5</v>
      </c>
      <c r="V10" s="43" t="str">
        <f>SP64!D7</f>
        <v>Spieler 5</v>
      </c>
      <c r="W10" s="44">
        <f>SP64!F7</f>
        <v>0</v>
      </c>
      <c r="AB10" s="41"/>
      <c r="AC10" s="45" t="str">
        <f>SP64!E111</f>
        <v>Sieger 90</v>
      </c>
      <c r="AD10" s="46">
        <f>SP64!G111</f>
        <v>0</v>
      </c>
    </row>
    <row r="11" spans="8:29" ht="13.5" thickBot="1">
      <c r="H11" s="42">
        <f>SP64!C115</f>
        <v>113</v>
      </c>
      <c r="I11" s="43" t="str">
        <f>SP64!D115</f>
        <v>Sieger 105</v>
      </c>
      <c r="J11" s="44">
        <f>SP64!F115</f>
        <v>0</v>
      </c>
      <c r="K11" s="45" t="str">
        <f>SP64!E107</f>
        <v>Sieger 98</v>
      </c>
      <c r="L11" s="46">
        <f>SP64!G107</f>
        <v>0</v>
      </c>
      <c r="R11" s="42">
        <f>SP64!C37</f>
        <v>35</v>
      </c>
      <c r="S11" s="43" t="str">
        <f>SP64!D37</f>
        <v>Verlierer 5</v>
      </c>
      <c r="T11" s="44">
        <f>SP64!F37</f>
        <v>0</v>
      </c>
      <c r="V11" s="45" t="str">
        <f>SP64!E7</f>
        <v>Spieler 37</v>
      </c>
      <c r="W11" s="46">
        <f>SP64!G7</f>
        <v>0</v>
      </c>
      <c r="X11" s="42">
        <f>SP64!C53</f>
        <v>51</v>
      </c>
      <c r="Y11" s="43" t="str">
        <f>SP64!D53</f>
        <v>Sieger 5</v>
      </c>
      <c r="Z11" s="44">
        <f>SP64!F53</f>
        <v>0</v>
      </c>
      <c r="AC11" s="48" t="s">
        <v>1115</v>
      </c>
    </row>
    <row r="12" spans="8:29" ht="13.5" thickBot="1">
      <c r="H12" s="41"/>
      <c r="I12" s="45" t="str">
        <f>SP64!E115</f>
        <v>Verlierer 111</v>
      </c>
      <c r="J12" s="46">
        <f>SP64!G115</f>
        <v>0</v>
      </c>
      <c r="K12" s="47" t="s">
        <v>892</v>
      </c>
      <c r="P12" s="42">
        <f>SP64!C69</f>
        <v>67</v>
      </c>
      <c r="Q12" s="43" t="str">
        <f>SP64!D69</f>
        <v>Sieger 35</v>
      </c>
      <c r="R12" s="44">
        <f>SP64!F69</f>
        <v>0</v>
      </c>
      <c r="S12" s="45" t="str">
        <f>SP64!E37</f>
        <v>Verlierer 6</v>
      </c>
      <c r="T12" s="46">
        <f>SP64!G37</f>
        <v>0</v>
      </c>
      <c r="U12" s="42">
        <f>SP64!C8</f>
        <v>6</v>
      </c>
      <c r="V12" s="43" t="str">
        <f>SP64!D8</f>
        <v>Spieler 21</v>
      </c>
      <c r="W12" s="44">
        <f>SP64!F8</f>
        <v>0</v>
      </c>
      <c r="X12" s="41"/>
      <c r="Y12" s="45" t="str">
        <f>SP64!E53</f>
        <v>Sieger 6</v>
      </c>
      <c r="Z12" s="46">
        <f>SP64!G53</f>
        <v>0</v>
      </c>
      <c r="AA12" s="41"/>
      <c r="AC12" s="5"/>
    </row>
    <row r="13" spans="9:28" ht="13.5" thickBot="1">
      <c r="I13" s="47" t="s">
        <v>893</v>
      </c>
      <c r="N13" s="42">
        <f>SP64!C84</f>
        <v>82</v>
      </c>
      <c r="O13" s="43" t="str">
        <f>SP64!D84</f>
        <v>Sieger 67</v>
      </c>
      <c r="P13" s="44">
        <f>SP64!F84</f>
        <v>0</v>
      </c>
      <c r="Q13" s="45" t="str">
        <f>SP64!E69</f>
        <v>Verlierer 62</v>
      </c>
      <c r="R13" s="46">
        <f>SP64!G69</f>
        <v>0</v>
      </c>
      <c r="V13" s="45" t="str">
        <f>SP64!E8</f>
        <v>Spieler 53</v>
      </c>
      <c r="W13" s="46">
        <f>SP64!G8</f>
        <v>0</v>
      </c>
      <c r="Y13" s="48" t="s">
        <v>1102</v>
      </c>
      <c r="Z13" s="42">
        <f>SP64!C92</f>
        <v>90</v>
      </c>
      <c r="AA13" s="43" t="str">
        <f>SP64!D92</f>
        <v>Sieger 51</v>
      </c>
      <c r="AB13" s="44">
        <f>SP64!F92</f>
        <v>0</v>
      </c>
    </row>
    <row r="14" spans="12:28" ht="13.5" thickBot="1">
      <c r="L14" s="42">
        <f>SP64!C100</f>
        <v>98</v>
      </c>
      <c r="M14" s="43" t="str">
        <f>SP64!D100</f>
        <v>Sieger 82</v>
      </c>
      <c r="N14" s="44">
        <f>SP64!F100</f>
        <v>0</v>
      </c>
      <c r="O14" s="45" t="str">
        <f>SP64!E84</f>
        <v>Sieger 68</v>
      </c>
      <c r="P14" s="46">
        <f>SP64!G84</f>
        <v>0</v>
      </c>
      <c r="U14" s="42">
        <f>SP64!C9</f>
        <v>7</v>
      </c>
      <c r="V14" s="43" t="str">
        <f>SP64!D9</f>
        <v>Spieler 13</v>
      </c>
      <c r="W14" s="44">
        <f>SP64!F9</f>
        <v>0</v>
      </c>
      <c r="Z14" s="41"/>
      <c r="AA14" s="45" t="str">
        <f>SP64!E92</f>
        <v>Sieger 52</v>
      </c>
      <c r="AB14" s="46">
        <f>SP64!G92</f>
        <v>0</v>
      </c>
    </row>
    <row r="15" spans="12:27" ht="13.5" thickBot="1">
      <c r="L15" s="41"/>
      <c r="M15" s="45" t="str">
        <f>SP64!E100</f>
        <v>Verlierer 91</v>
      </c>
      <c r="N15" s="46">
        <f>SP64!G100</f>
        <v>0</v>
      </c>
      <c r="R15" s="42">
        <f>SP64!C38</f>
        <v>36</v>
      </c>
      <c r="S15" s="43" t="str">
        <f>SP64!D38</f>
        <v>Verlierer 7</v>
      </c>
      <c r="T15" s="44">
        <f>SP64!F38</f>
        <v>0</v>
      </c>
      <c r="V15" s="45" t="str">
        <f>SP64!E9</f>
        <v>Spieler 45</v>
      </c>
      <c r="W15" s="46">
        <f>SP64!G9</f>
        <v>0</v>
      </c>
      <c r="X15" s="42">
        <f>SP64!C54</f>
        <v>52</v>
      </c>
      <c r="Y15" s="43" t="str">
        <f>SP64!D54</f>
        <v>Sieger 7</v>
      </c>
      <c r="Z15" s="44">
        <f>SP64!F54</f>
        <v>0</v>
      </c>
      <c r="AA15" s="48" t="s">
        <v>1107</v>
      </c>
    </row>
    <row r="16" spans="16:32" ht="13.5" thickBot="1">
      <c r="P16" s="42">
        <f>SP64!C70</f>
        <v>68</v>
      </c>
      <c r="Q16" s="43" t="str">
        <f>SP64!D70</f>
        <v>Sieger 36</v>
      </c>
      <c r="R16" s="44">
        <f>SP64!F70</f>
        <v>0</v>
      </c>
      <c r="S16" s="45" t="str">
        <f>SP64!E38</f>
        <v>Verlierer 8</v>
      </c>
      <c r="T16" s="46">
        <f>SP64!G38</f>
        <v>0</v>
      </c>
      <c r="U16" s="42">
        <f>SP64!C10</f>
        <v>8</v>
      </c>
      <c r="V16" s="43" t="str">
        <f>SP64!D10</f>
        <v>Spieler 29</v>
      </c>
      <c r="W16" s="44">
        <f>SP64!F10</f>
        <v>0</v>
      </c>
      <c r="X16" s="41"/>
      <c r="Y16" s="45" t="str">
        <f>SP64!E54</f>
        <v>Sieger 8</v>
      </c>
      <c r="Z16" s="46">
        <f>SP64!G54</f>
        <v>0</v>
      </c>
      <c r="AD16" s="41"/>
      <c r="AE16" s="47" t="str">
        <f>SP64!B121</f>
        <v>GR4</v>
      </c>
      <c r="AF16" s="5"/>
    </row>
    <row r="17" spans="7:32" ht="13.5" thickBot="1">
      <c r="G17" s="47" t="str">
        <f>SP64!B119</f>
        <v>VR7</v>
      </c>
      <c r="P17" s="41"/>
      <c r="Q17" s="45" t="str">
        <f>SP64!E70</f>
        <v>Verlierer 61</v>
      </c>
      <c r="R17" s="46">
        <f>SP64!G70</f>
        <v>0</v>
      </c>
      <c r="V17" s="45" t="str">
        <f>SP64!E10</f>
        <v>Spieler 61</v>
      </c>
      <c r="W17" s="46">
        <f>SP64!G10</f>
        <v>0</v>
      </c>
      <c r="Y17" s="48" t="s">
        <v>1101</v>
      </c>
      <c r="AD17" s="42">
        <f>SP64!C121</f>
        <v>119</v>
      </c>
      <c r="AE17" s="43" t="str">
        <f>SP64!D121</f>
        <v>Sieger 109</v>
      </c>
      <c r="AF17" s="44">
        <f>SP64!F121</f>
        <v>0</v>
      </c>
    </row>
    <row r="18" spans="5:32" ht="13.5" thickBot="1">
      <c r="E18" s="47" t="str">
        <f>SP64!B123</f>
        <v>VR8</v>
      </c>
      <c r="F18" s="42">
        <f>SP64!C119</f>
        <v>117</v>
      </c>
      <c r="G18" s="43" t="str">
        <f>SP64!D119</f>
        <v>Sieger 113</v>
      </c>
      <c r="H18" s="44">
        <f>SP64!F119</f>
        <v>0</v>
      </c>
      <c r="U18" s="42">
        <f>SP64!C11</f>
        <v>9</v>
      </c>
      <c r="V18" s="43" t="str">
        <f>SP64!D11</f>
        <v>Spieler 3</v>
      </c>
      <c r="W18" s="44">
        <f>SP64!F11</f>
        <v>0</v>
      </c>
      <c r="AD18" s="41"/>
      <c r="AE18" s="45" t="str">
        <f>SP64!E121</f>
        <v>Sieger 110</v>
      </c>
      <c r="AF18" s="46">
        <f>SP64!G121</f>
        <v>0</v>
      </c>
    </row>
    <row r="19" spans="4:31" ht="13.5" thickBot="1">
      <c r="D19" s="42">
        <f>SP64!C123</f>
        <v>121</v>
      </c>
      <c r="E19" s="43" t="str">
        <f>SP64!D123</f>
        <v>Sieger 117</v>
      </c>
      <c r="F19" s="44">
        <f>SP64!F123</f>
        <v>0</v>
      </c>
      <c r="G19" s="45" t="str">
        <f>SP64!E119</f>
        <v>Sieger 114</v>
      </c>
      <c r="H19" s="46">
        <f>SP64!G119</f>
        <v>0</v>
      </c>
      <c r="R19" s="42">
        <f>SP64!C39</f>
        <v>37</v>
      </c>
      <c r="S19" s="43" t="str">
        <f>SP64!D39</f>
        <v>Verlierer 9</v>
      </c>
      <c r="T19" s="44">
        <f>SP64!F39</f>
        <v>0</v>
      </c>
      <c r="V19" s="45" t="str">
        <f>SP64!E11</f>
        <v>Spieler 35</v>
      </c>
      <c r="W19" s="46">
        <f>SP64!G11</f>
        <v>0</v>
      </c>
      <c r="X19" s="42">
        <f>SP64!C55</f>
        <v>53</v>
      </c>
      <c r="Y19" s="43" t="str">
        <f>SP64!D55</f>
        <v>Sieger 9</v>
      </c>
      <c r="Z19" s="44">
        <f>SP64!F55</f>
        <v>0</v>
      </c>
      <c r="AE19" s="48" t="s">
        <v>1117</v>
      </c>
    </row>
    <row r="20" spans="4:26" ht="13.5" thickBot="1">
      <c r="D20" s="41"/>
      <c r="E20" s="45" t="str">
        <f>SP64!E123</f>
        <v>Verlierer 119</v>
      </c>
      <c r="F20" s="46">
        <f>SP64!G123</f>
        <v>0</v>
      </c>
      <c r="G20" s="47" t="s">
        <v>894</v>
      </c>
      <c r="P20" s="42">
        <f>SP64!C71</f>
        <v>69</v>
      </c>
      <c r="Q20" s="43" t="str">
        <f>SP64!D71</f>
        <v>Sieger 37</v>
      </c>
      <c r="R20" s="44">
        <f>SP64!F71</f>
        <v>0</v>
      </c>
      <c r="S20" s="45" t="str">
        <f>SP64!E39</f>
        <v>Verlierer 10</v>
      </c>
      <c r="T20" s="46">
        <f>SP64!G39</f>
        <v>0</v>
      </c>
      <c r="U20" s="42">
        <f>SP64!C12</f>
        <v>10</v>
      </c>
      <c r="V20" s="43" t="str">
        <f>SP64!D12</f>
        <v>Spieler 19</v>
      </c>
      <c r="W20" s="44">
        <f>SP64!F12</f>
        <v>0</v>
      </c>
      <c r="X20" s="41"/>
      <c r="Y20" s="45" t="str">
        <f>SP64!E55</f>
        <v>Sieger 10</v>
      </c>
      <c r="Z20" s="46">
        <f>SP64!G55</f>
        <v>0</v>
      </c>
    </row>
    <row r="21" spans="5:28" ht="13.5" thickBot="1">
      <c r="E21" s="47" t="s">
        <v>895</v>
      </c>
      <c r="N21" s="42">
        <f>SP64!C85</f>
        <v>83</v>
      </c>
      <c r="O21" s="43" t="str">
        <f>SP64!D85</f>
        <v>Sieger 69</v>
      </c>
      <c r="P21" s="44">
        <f>SP64!F85</f>
        <v>0</v>
      </c>
      <c r="Q21" s="45" t="str">
        <f>SP64!E71</f>
        <v>Verlierer 60</v>
      </c>
      <c r="R21" s="46">
        <f>SP64!G71</f>
        <v>0</v>
      </c>
      <c r="V21" s="45" t="str">
        <f>SP64!E12</f>
        <v>Spieler 51</v>
      </c>
      <c r="W21" s="46">
        <f>SP64!G12</f>
        <v>0</v>
      </c>
      <c r="Y21" s="48" t="s">
        <v>1100</v>
      </c>
      <c r="Z21" s="42">
        <f>SP64!C93</f>
        <v>91</v>
      </c>
      <c r="AA21" s="43" t="str">
        <f>SP64!D93</f>
        <v>Sieger 53</v>
      </c>
      <c r="AB21" s="44">
        <f>SP64!F93</f>
        <v>0</v>
      </c>
    </row>
    <row r="22" spans="3:28" ht="13.5" thickBot="1">
      <c r="C22" s="41"/>
      <c r="E22" s="5"/>
      <c r="I22" s="41"/>
      <c r="L22" s="42">
        <f>SP64!C101</f>
        <v>99</v>
      </c>
      <c r="M22" s="43" t="str">
        <f>SP64!D101</f>
        <v>Sieger 83</v>
      </c>
      <c r="N22" s="44">
        <f>SP64!F101</f>
        <v>0</v>
      </c>
      <c r="O22" s="45" t="str">
        <f>SP64!E85</f>
        <v>Sieger 70</v>
      </c>
      <c r="P22" s="46">
        <f>SP64!G85</f>
        <v>0</v>
      </c>
      <c r="U22" s="42">
        <f>SP64!C13</f>
        <v>11</v>
      </c>
      <c r="V22" s="43" t="str">
        <f>SP64!D13</f>
        <v>Spieler 11</v>
      </c>
      <c r="W22" s="44">
        <f>SP64!F13</f>
        <v>0</v>
      </c>
      <c r="Z22" s="41"/>
      <c r="AA22" s="45" t="str">
        <f>SP64!E93</f>
        <v>Sieger 54</v>
      </c>
      <c r="AB22" s="46">
        <f>SP64!G93</f>
        <v>0</v>
      </c>
    </row>
    <row r="23" spans="12:27" ht="13.5" thickBot="1">
      <c r="L23" s="41"/>
      <c r="M23" s="45" t="str">
        <f>SP64!E101</f>
        <v>Verlierer 90</v>
      </c>
      <c r="N23" s="46">
        <f>SP64!G101</f>
        <v>0</v>
      </c>
      <c r="R23" s="42">
        <f>SP64!C40</f>
        <v>38</v>
      </c>
      <c r="S23" s="43" t="str">
        <f>SP64!D40</f>
        <v>Verlierer 11</v>
      </c>
      <c r="T23" s="44">
        <f>SP64!F40</f>
        <v>0</v>
      </c>
      <c r="V23" s="45" t="str">
        <f>SP64!E13</f>
        <v>Spieler 43</v>
      </c>
      <c r="W23" s="46">
        <f>SP64!G13</f>
        <v>0</v>
      </c>
      <c r="X23" s="42">
        <f>SP64!C56</f>
        <v>54</v>
      </c>
      <c r="Y23" s="43" t="str">
        <f>SP64!D56</f>
        <v>Sieger 11</v>
      </c>
      <c r="Z23" s="44">
        <f>SP64!F56</f>
        <v>0</v>
      </c>
      <c r="AA23" s="48" t="s">
        <v>1106</v>
      </c>
    </row>
    <row r="24" spans="16:26" ht="13.5" thickBot="1">
      <c r="P24" s="42">
        <f>SP64!C72</f>
        <v>70</v>
      </c>
      <c r="Q24" s="43" t="str">
        <f>SP64!D72</f>
        <v>Sieger 38</v>
      </c>
      <c r="R24" s="44">
        <f>SP64!F72</f>
        <v>0</v>
      </c>
      <c r="S24" s="45" t="str">
        <f>SP64!E40</f>
        <v>Verlierer 12</v>
      </c>
      <c r="T24" s="46">
        <f>SP64!G40</f>
        <v>0</v>
      </c>
      <c r="U24" s="42">
        <f>SP64!C14</f>
        <v>12</v>
      </c>
      <c r="V24" s="43" t="str">
        <f>SP64!D14</f>
        <v>Spieler 27</v>
      </c>
      <c r="W24" s="44">
        <f>SP64!F14</f>
        <v>0</v>
      </c>
      <c r="X24" s="41"/>
      <c r="Y24" s="45" t="str">
        <f>SP64!E56</f>
        <v>Sieger 12</v>
      </c>
      <c r="Z24" s="46">
        <f>SP64!G56</f>
        <v>0</v>
      </c>
    </row>
    <row r="25" spans="16:30" ht="13.5" thickBot="1">
      <c r="P25" s="41"/>
      <c r="Q25" s="45" t="str">
        <f>SP64!E72</f>
        <v>Verlierer 59</v>
      </c>
      <c r="R25" s="46">
        <f>SP64!G72</f>
        <v>0</v>
      </c>
      <c r="V25" s="45" t="str">
        <f>SP64!E14</f>
        <v>Spieler 59</v>
      </c>
      <c r="W25" s="46">
        <f>SP64!G14</f>
        <v>0</v>
      </c>
      <c r="Y25" s="48" t="s">
        <v>1099</v>
      </c>
      <c r="AB25" s="42">
        <f>SP64!C112</f>
        <v>110</v>
      </c>
      <c r="AC25" s="43" t="str">
        <f>SP64!D112</f>
        <v>Sieger 91</v>
      </c>
      <c r="AD25" s="44">
        <f>SP64!F112</f>
        <v>0</v>
      </c>
    </row>
    <row r="26" spans="10:30" ht="13.5" thickBot="1">
      <c r="J26" s="42">
        <f>SP64!C108</f>
        <v>106</v>
      </c>
      <c r="K26" s="43" t="str">
        <f>SP64!D108</f>
        <v>Sieger 99</v>
      </c>
      <c r="L26" s="44">
        <f>SP64!F108</f>
        <v>0</v>
      </c>
      <c r="U26" s="42">
        <f>SP64!C15</f>
        <v>13</v>
      </c>
      <c r="V26" s="43" t="str">
        <f>SP64!D15</f>
        <v>Spieler 7</v>
      </c>
      <c r="W26" s="44">
        <f>SP64!F15</f>
        <v>0</v>
      </c>
      <c r="AB26" s="41"/>
      <c r="AC26" s="45" t="str">
        <f>SP64!E112</f>
        <v>Sieger 92</v>
      </c>
      <c r="AD26" s="46">
        <f>SP64!G112</f>
        <v>0</v>
      </c>
    </row>
    <row r="27" spans="5:29" ht="13.5" thickBot="1">
      <c r="E27" s="41"/>
      <c r="G27" s="5"/>
      <c r="H27" s="42">
        <f>SP64!C116</f>
        <v>114</v>
      </c>
      <c r="I27" s="43" t="str">
        <f>SP64!D116</f>
        <v>Sieger 106</v>
      </c>
      <c r="J27" s="44">
        <f>SP64!F116</f>
        <v>0</v>
      </c>
      <c r="K27" s="45" t="str">
        <f>SP64!E108</f>
        <v>Sieger 100</v>
      </c>
      <c r="L27" s="46">
        <f>SP64!G108</f>
        <v>0</v>
      </c>
      <c r="M27" s="5"/>
      <c r="R27" s="42">
        <f>SP64!C41</f>
        <v>39</v>
      </c>
      <c r="S27" s="43" t="str">
        <f>SP64!D41</f>
        <v>Verlierer 13</v>
      </c>
      <c r="T27" s="44">
        <f>SP64!F41</f>
        <v>0</v>
      </c>
      <c r="V27" s="45" t="str">
        <f>SP64!E15</f>
        <v>Spieler 39</v>
      </c>
      <c r="W27" s="46">
        <f>SP64!G15</f>
        <v>0</v>
      </c>
      <c r="X27" s="42">
        <f>SP64!C57</f>
        <v>55</v>
      </c>
      <c r="Y27" s="43" t="str">
        <f>SP64!D57</f>
        <v>Sieger 13</v>
      </c>
      <c r="Z27" s="44">
        <f>SP64!F57</f>
        <v>0</v>
      </c>
      <c r="AC27" s="48" t="s">
        <v>1116</v>
      </c>
    </row>
    <row r="28" spans="8:26" ht="13.5" thickBot="1">
      <c r="H28" s="41"/>
      <c r="I28" s="45" t="str">
        <f>SP64!E116</f>
        <v>Verlierer 112</v>
      </c>
      <c r="J28" s="46">
        <f>SP64!G116</f>
        <v>0</v>
      </c>
      <c r="P28" s="42">
        <f>SP64!C73</f>
        <v>71</v>
      </c>
      <c r="Q28" s="43" t="str">
        <f>SP64!D73</f>
        <v>Sieger 39</v>
      </c>
      <c r="R28" s="44">
        <f>SP64!F73</f>
        <v>0</v>
      </c>
      <c r="S28" s="45" t="str">
        <f>SP64!E41</f>
        <v>Verlierer 14</v>
      </c>
      <c r="T28" s="46">
        <f>SP64!G41</f>
        <v>0</v>
      </c>
      <c r="U28" s="42">
        <f>SP64!C16</f>
        <v>14</v>
      </c>
      <c r="V28" s="43" t="str">
        <f>SP64!D16</f>
        <v>Spieler 23</v>
      </c>
      <c r="W28" s="44">
        <f>SP64!F16</f>
        <v>0</v>
      </c>
      <c r="X28" s="41"/>
      <c r="Y28" s="45" t="str">
        <f>SP64!E57</f>
        <v>Sieger 14</v>
      </c>
      <c r="Z28" s="46">
        <f>SP64!G57</f>
        <v>0</v>
      </c>
    </row>
    <row r="29" spans="9:31" ht="13.5" thickBot="1">
      <c r="I29" s="5"/>
      <c r="N29" s="42">
        <f>SP64!C86</f>
        <v>84</v>
      </c>
      <c r="O29" s="43" t="str">
        <f>SP64!D86</f>
        <v>Sieger 71</v>
      </c>
      <c r="P29" s="44">
        <f>SP64!F86</f>
        <v>0</v>
      </c>
      <c r="Q29" s="45" t="str">
        <f>SP64!E73</f>
        <v>Verlierer 58</v>
      </c>
      <c r="R29" s="46">
        <f>SP64!G73</f>
        <v>0</v>
      </c>
      <c r="V29" s="45" t="str">
        <f>SP64!E16</f>
        <v>Spieler 55</v>
      </c>
      <c r="W29" s="46">
        <f>SP64!G16</f>
        <v>0</v>
      </c>
      <c r="Y29" s="48" t="s">
        <v>1098</v>
      </c>
      <c r="Z29" s="42">
        <f>SP64!C94</f>
        <v>92</v>
      </c>
      <c r="AA29" s="43" t="str">
        <f>SP64!D94</f>
        <v>Sieger 55</v>
      </c>
      <c r="AB29" s="44">
        <f>SP64!F94</f>
        <v>0</v>
      </c>
      <c r="AC29" s="41"/>
      <c r="AE29" s="5"/>
    </row>
    <row r="30" spans="12:28" ht="13.5" thickBot="1">
      <c r="L30" s="42">
        <f>SP64!C102</f>
        <v>100</v>
      </c>
      <c r="M30" s="43" t="str">
        <f>SP64!D102</f>
        <v>Sieger 84</v>
      </c>
      <c r="N30" s="44">
        <f>SP64!F102</f>
        <v>0</v>
      </c>
      <c r="O30" s="45" t="str">
        <f>SP64!E86</f>
        <v>Sieger 72</v>
      </c>
      <c r="P30" s="46">
        <f>SP64!G86</f>
        <v>0</v>
      </c>
      <c r="U30" s="42">
        <f>SP64!C17</f>
        <v>15</v>
      </c>
      <c r="V30" s="43" t="str">
        <f>SP64!D17</f>
        <v>Spieler 15</v>
      </c>
      <c r="W30" s="44">
        <f>SP64!F17</f>
        <v>0</v>
      </c>
      <c r="Z30" s="41"/>
      <c r="AA30" s="45" t="str">
        <f>SP64!E94</f>
        <v>Sieger 56</v>
      </c>
      <c r="AB30" s="46">
        <f>SP64!G94</f>
        <v>0</v>
      </c>
    </row>
    <row r="31" spans="12:27" ht="13.5" thickBot="1">
      <c r="L31" s="41"/>
      <c r="M31" s="45" t="str">
        <f>SP64!E102</f>
        <v>Verlierer 89</v>
      </c>
      <c r="N31" s="46">
        <f>SP64!G102</f>
        <v>0</v>
      </c>
      <c r="R31" s="42">
        <f>SP64!C42</f>
        <v>40</v>
      </c>
      <c r="S31" s="43" t="str">
        <f>SP64!D42</f>
        <v>Verlierer 15</v>
      </c>
      <c r="T31" s="44">
        <f>SP64!F42</f>
        <v>0</v>
      </c>
      <c r="V31" s="45" t="str">
        <f>SP64!E17</f>
        <v>Spieler 47</v>
      </c>
      <c r="W31" s="46">
        <f>SP64!G17</f>
        <v>0</v>
      </c>
      <c r="X31" s="42">
        <f>SP64!C58</f>
        <v>56</v>
      </c>
      <c r="Y31" s="43" t="str">
        <f>SP64!D58</f>
        <v>Sieger 15</v>
      </c>
      <c r="Z31" s="44">
        <f>SP64!F58</f>
        <v>0</v>
      </c>
      <c r="AA31" s="48" t="s">
        <v>1105</v>
      </c>
    </row>
    <row r="32" spans="16:34" ht="13.5" thickBot="1">
      <c r="P32" s="42">
        <f>SP64!C74</f>
        <v>72</v>
      </c>
      <c r="Q32" s="43" t="str">
        <f>SP64!D74</f>
        <v>Sieger 40</v>
      </c>
      <c r="R32" s="44">
        <f>SP64!F74</f>
        <v>0</v>
      </c>
      <c r="S32" s="45" t="str">
        <f>SP64!E42</f>
        <v>Verlierer 16</v>
      </c>
      <c r="T32" s="46">
        <f>SP64!G42</f>
        <v>0</v>
      </c>
      <c r="U32" s="42">
        <f>SP64!C18</f>
        <v>16</v>
      </c>
      <c r="V32" s="43" t="str">
        <f>SP64!D18</f>
        <v>Spieler 31</v>
      </c>
      <c r="W32" s="44">
        <f>SP64!F18</f>
        <v>0</v>
      </c>
      <c r="X32" s="41"/>
      <c r="Y32" s="45" t="str">
        <f>SP64!E58</f>
        <v>Sieger 16</v>
      </c>
      <c r="Z32" s="46">
        <f>SP64!G58</f>
        <v>0</v>
      </c>
      <c r="AF32" s="41"/>
      <c r="AG32" s="47" t="str">
        <f>SP64!B126</f>
        <v>GR5</v>
      </c>
      <c r="AH32" s="5"/>
    </row>
    <row r="33" spans="16:34" ht="13.5" thickBot="1">
      <c r="P33" s="41"/>
      <c r="Q33" s="45" t="str">
        <f>SP64!E74</f>
        <v>Verlierer 57</v>
      </c>
      <c r="R33" s="46">
        <f>SP64!G74</f>
        <v>0</v>
      </c>
      <c r="V33" s="45" t="str">
        <f>SP64!E18</f>
        <v>Spieler 63</v>
      </c>
      <c r="W33" s="46">
        <f>SP64!G18</f>
        <v>0</v>
      </c>
      <c r="Y33" s="48" t="s">
        <v>1097</v>
      </c>
      <c r="AF33" s="42">
        <v>124</v>
      </c>
      <c r="AG33" s="43" t="str">
        <f>SP64!D126</f>
        <v>Sieger 119</v>
      </c>
      <c r="AH33" s="44">
        <f>SP64!F126</f>
        <v>0</v>
      </c>
    </row>
    <row r="34" spans="2:34" ht="13.5" thickBot="1">
      <c r="B34" s="41"/>
      <c r="C34" s="47" t="str">
        <f>SP64!B125</f>
        <v>VR9</v>
      </c>
      <c r="D34" s="5"/>
      <c r="U34" s="42">
        <f>SP64!C19</f>
        <v>17</v>
      </c>
      <c r="V34" s="43" t="str">
        <f>SP64!D19</f>
        <v>Spieler 2</v>
      </c>
      <c r="W34" s="44">
        <f>SP64!F19</f>
        <v>0</v>
      </c>
      <c r="AF34" s="41"/>
      <c r="AG34" s="45" t="str">
        <f>SP64!E126</f>
        <v>Sieger 120</v>
      </c>
      <c r="AH34" s="46">
        <f>SP64!G126</f>
        <v>0</v>
      </c>
    </row>
    <row r="35" spans="2:33" ht="13.5" thickBot="1">
      <c r="B35" s="42">
        <f>SP64!C125</f>
        <v>123</v>
      </c>
      <c r="C35" s="43" t="str">
        <f>SP64!D125</f>
        <v>Sieger 121</v>
      </c>
      <c r="D35" s="44">
        <f>SP64!F125</f>
        <v>0</v>
      </c>
      <c r="R35" s="42">
        <f>SP64!C43</f>
        <v>41</v>
      </c>
      <c r="S35" s="43" t="str">
        <f>SP64!D43</f>
        <v>Verlierer 17</v>
      </c>
      <c r="T35" s="44">
        <f>SP64!F43</f>
        <v>0</v>
      </c>
      <c r="V35" s="45" t="str">
        <f>SP64!E19</f>
        <v>Spieler 34</v>
      </c>
      <c r="W35" s="46">
        <f>SP64!G19</f>
        <v>0</v>
      </c>
      <c r="X35" s="42">
        <f>SP64!C59</f>
        <v>57</v>
      </c>
      <c r="Y35" s="43" t="str">
        <f>SP64!D59</f>
        <v>Sieger 17</v>
      </c>
      <c r="Z35" s="44">
        <f>SP64!F59</f>
        <v>0</v>
      </c>
      <c r="AG35" s="48" t="s">
        <v>1119</v>
      </c>
    </row>
    <row r="36" spans="2:26" ht="13.5" thickBot="1">
      <c r="B36" s="41"/>
      <c r="C36" s="45" t="str">
        <f>SP64!E125</f>
        <v>Sieger 122</v>
      </c>
      <c r="D36" s="46">
        <f>SP64!G125</f>
        <v>0</v>
      </c>
      <c r="P36" s="42">
        <f>SP64!C75</f>
        <v>73</v>
      </c>
      <c r="Q36" s="43" t="str">
        <f>SP64!D75</f>
        <v>Sieger 41</v>
      </c>
      <c r="R36" s="44">
        <f>SP64!F75</f>
        <v>0</v>
      </c>
      <c r="S36" s="45" t="str">
        <f>SP64!E43</f>
        <v>Verlierer 18</v>
      </c>
      <c r="T36" s="46">
        <f>SP64!G43</f>
        <v>0</v>
      </c>
      <c r="U36" s="42">
        <f>SP64!C20</f>
        <v>18</v>
      </c>
      <c r="V36" s="43" t="str">
        <f>SP64!D20</f>
        <v>Spieler 18</v>
      </c>
      <c r="W36" s="44">
        <f>SP64!F20</f>
        <v>0</v>
      </c>
      <c r="X36" s="41"/>
      <c r="Y36" s="45" t="str">
        <f>SP64!E59</f>
        <v>Sieger 18</v>
      </c>
      <c r="Z36" s="46">
        <f>SP64!G59</f>
        <v>0</v>
      </c>
    </row>
    <row r="37" spans="3:28" ht="13.5" thickBot="1">
      <c r="C37" s="47" t="s">
        <v>896</v>
      </c>
      <c r="N37" s="42">
        <f>SP64!C87</f>
        <v>85</v>
      </c>
      <c r="O37" s="43" t="str">
        <f>SP64!D87</f>
        <v>Sieger 73</v>
      </c>
      <c r="P37" s="44">
        <f>SP64!F87</f>
        <v>0</v>
      </c>
      <c r="Q37" s="45" t="str">
        <f>SP64!E75</f>
        <v>Verlierer 56</v>
      </c>
      <c r="R37" s="46">
        <f>SP64!G75</f>
        <v>0</v>
      </c>
      <c r="V37" s="45" t="str">
        <f>SP64!E20</f>
        <v>Spieler 50</v>
      </c>
      <c r="W37" s="46">
        <f>SP64!G20</f>
        <v>0</v>
      </c>
      <c r="Y37" s="48" t="s">
        <v>1096</v>
      </c>
      <c r="Z37" s="42">
        <f>SP64!C95</f>
        <v>93</v>
      </c>
      <c r="AA37" s="43" t="str">
        <f>SP64!D95</f>
        <v>Sieger 57</v>
      </c>
      <c r="AB37" s="44">
        <f>SP64!F95</f>
        <v>0</v>
      </c>
    </row>
    <row r="38" spans="12:28" ht="13.5" thickBot="1">
      <c r="L38" s="42">
        <f>SP64!C103</f>
        <v>101</v>
      </c>
      <c r="M38" s="43" t="str">
        <f>SP64!D103</f>
        <v>Sieger 85</v>
      </c>
      <c r="N38" s="44">
        <f>SP64!F103</f>
        <v>0</v>
      </c>
      <c r="O38" s="45" t="str">
        <f>SP64!E87</f>
        <v>Sieger 74</v>
      </c>
      <c r="P38" s="46">
        <f>SP64!G87</f>
        <v>0</v>
      </c>
      <c r="U38" s="42">
        <f>SP64!C21</f>
        <v>19</v>
      </c>
      <c r="V38" s="43" t="str">
        <f>SP64!D21</f>
        <v>Spieler 10</v>
      </c>
      <c r="W38" s="44">
        <f>SP64!F21</f>
        <v>0</v>
      </c>
      <c r="Z38" s="41"/>
      <c r="AA38" s="45" t="str">
        <f>SP64!E95</f>
        <v>Sieger 58</v>
      </c>
      <c r="AB38" s="46">
        <f>SP64!G95</f>
        <v>0</v>
      </c>
    </row>
    <row r="39" spans="12:27" ht="13.5" thickBot="1">
      <c r="L39" s="41"/>
      <c r="M39" s="45" t="str">
        <f>SP64!E103</f>
        <v>Verlierer 96</v>
      </c>
      <c r="N39" s="46">
        <f>SP64!G103</f>
        <v>0</v>
      </c>
      <c r="R39" s="42">
        <f>SP64!C44</f>
        <v>42</v>
      </c>
      <c r="S39" s="43" t="str">
        <f>SP64!D44</f>
        <v>Verlierer 19</v>
      </c>
      <c r="T39" s="44">
        <f>SP64!F44</f>
        <v>0</v>
      </c>
      <c r="V39" s="45" t="str">
        <f>SP64!E21</f>
        <v>Spieler 42</v>
      </c>
      <c r="W39" s="46">
        <f>SP64!G21</f>
        <v>0</v>
      </c>
      <c r="X39" s="42">
        <f>SP64!C60</f>
        <v>58</v>
      </c>
      <c r="Y39" s="43" t="str">
        <f>SP64!D60</f>
        <v>Sieger 19</v>
      </c>
      <c r="Z39" s="44">
        <f>SP64!F60</f>
        <v>0</v>
      </c>
      <c r="AA39" s="48" t="s">
        <v>1112</v>
      </c>
    </row>
    <row r="40" spans="16:26" ht="13.5" thickBot="1">
      <c r="P40" s="42">
        <f>SP64!C76</f>
        <v>74</v>
      </c>
      <c r="Q40" s="43" t="str">
        <f>SP64!D76</f>
        <v>Sieger 42</v>
      </c>
      <c r="R40" s="44">
        <f>SP64!F76</f>
        <v>0</v>
      </c>
      <c r="S40" s="45" t="str">
        <f>SP64!E44</f>
        <v>Verlierer 20</v>
      </c>
      <c r="T40" s="46">
        <f>SP64!G44</f>
        <v>0</v>
      </c>
      <c r="U40" s="42">
        <f>SP64!C22</f>
        <v>20</v>
      </c>
      <c r="V40" s="43" t="str">
        <f>SP64!D22</f>
        <v>Spieler 26</v>
      </c>
      <c r="W40" s="44">
        <f>SP64!F22</f>
        <v>0</v>
      </c>
      <c r="X40" s="41"/>
      <c r="Y40" s="45" t="str">
        <f>SP64!E60</f>
        <v>Sieger 20</v>
      </c>
      <c r="Z40" s="46">
        <f>SP64!G60</f>
        <v>0</v>
      </c>
    </row>
    <row r="41" spans="16:30" ht="13.5" thickBot="1">
      <c r="P41" s="41"/>
      <c r="Q41" s="45" t="str">
        <f>SP64!E76</f>
        <v>Verlierer 55</v>
      </c>
      <c r="R41" s="46">
        <f>SP64!G76</f>
        <v>0</v>
      </c>
      <c r="V41" s="45" t="str">
        <f>SP64!E22</f>
        <v>Spieler 58</v>
      </c>
      <c r="W41" s="46">
        <f>SP64!G22</f>
        <v>0</v>
      </c>
      <c r="Y41" s="48" t="s">
        <v>1095</v>
      </c>
      <c r="AB41" s="42">
        <f>SP64!C113</f>
        <v>111</v>
      </c>
      <c r="AC41" s="43" t="str">
        <f>SP64!D113</f>
        <v>Sieger 93</v>
      </c>
      <c r="AD41" s="44">
        <f>SP64!F113</f>
        <v>0</v>
      </c>
    </row>
    <row r="42" spans="10:30" ht="13.5" thickBot="1">
      <c r="J42" s="42">
        <f>SP64!C109</f>
        <v>107</v>
      </c>
      <c r="K42" s="43" t="str">
        <f>SP64!D109</f>
        <v>Sieger 101</v>
      </c>
      <c r="L42" s="44">
        <f>SP64!F109</f>
        <v>0</v>
      </c>
      <c r="U42" s="42">
        <f>SP64!C23</f>
        <v>21</v>
      </c>
      <c r="V42" s="43" t="str">
        <f>SP64!D23</f>
        <v>Spieler 6</v>
      </c>
      <c r="W42" s="44">
        <f>SP64!F23</f>
        <v>0</v>
      </c>
      <c r="AB42" s="41"/>
      <c r="AC42" s="45" t="str">
        <f>SP64!E113</f>
        <v>Sieger 94</v>
      </c>
      <c r="AD42" s="46">
        <f>SP64!G113</f>
        <v>0</v>
      </c>
    </row>
    <row r="43" spans="8:29" ht="13.5" thickBot="1">
      <c r="H43" s="42">
        <f>SP64!C117</f>
        <v>115</v>
      </c>
      <c r="I43" s="43" t="str">
        <f>SP64!D117</f>
        <v>Sieger 107</v>
      </c>
      <c r="J43" s="44">
        <f>SP64!F117</f>
        <v>0</v>
      </c>
      <c r="K43" s="45" t="str">
        <f>SP64!E109</f>
        <v>Sieger 102</v>
      </c>
      <c r="L43" s="46">
        <f>SP64!G109</f>
        <v>0</v>
      </c>
      <c r="R43" s="42">
        <f>SP64!C45</f>
        <v>43</v>
      </c>
      <c r="S43" s="43" t="str">
        <f>SP64!D45</f>
        <v>Verlierer 21</v>
      </c>
      <c r="T43" s="44">
        <f>SP64!F45</f>
        <v>0</v>
      </c>
      <c r="V43" s="45" t="str">
        <f>SP64!E23</f>
        <v>Spieler 38</v>
      </c>
      <c r="W43" s="46">
        <f>SP64!G23</f>
        <v>0</v>
      </c>
      <c r="X43" s="42">
        <f>SP64!C61</f>
        <v>59</v>
      </c>
      <c r="Y43" s="43" t="str">
        <f>SP64!D61</f>
        <v>Sieger 21</v>
      </c>
      <c r="Z43" s="44">
        <f>SP64!F61</f>
        <v>0</v>
      </c>
      <c r="AC43" s="48" t="s">
        <v>1113</v>
      </c>
    </row>
    <row r="44" spans="8:26" ht="13.5" thickBot="1">
      <c r="H44" s="41"/>
      <c r="I44" s="45" t="str">
        <f>SP64!E117</f>
        <v>Verlierer 109</v>
      </c>
      <c r="J44" s="46">
        <f>SP64!G117</f>
        <v>0</v>
      </c>
      <c r="P44" s="42">
        <f>SP64!C77</f>
        <v>75</v>
      </c>
      <c r="Q44" s="43" t="str">
        <f>SP64!D77</f>
        <v>Sieger 43</v>
      </c>
      <c r="R44" s="44">
        <f>SP64!F77</f>
        <v>0</v>
      </c>
      <c r="S44" s="45" t="str">
        <f>SP64!E45</f>
        <v>Verlierer 22</v>
      </c>
      <c r="T44" s="46">
        <f>SP64!G45</f>
        <v>0</v>
      </c>
      <c r="U44" s="42">
        <f>SP64!C24</f>
        <v>22</v>
      </c>
      <c r="V44" s="43" t="str">
        <f>SP64!D24</f>
        <v>Spieler 22</v>
      </c>
      <c r="W44" s="44">
        <f>SP64!F24</f>
        <v>0</v>
      </c>
      <c r="X44" s="41"/>
      <c r="Y44" s="45" t="str">
        <f>SP64!E61</f>
        <v>Sieger 22</v>
      </c>
      <c r="Z44" s="46">
        <f>SP64!G61</f>
        <v>0</v>
      </c>
    </row>
    <row r="45" spans="14:28" ht="13.5" thickBot="1">
      <c r="N45" s="42">
        <f>SP64!C88</f>
        <v>86</v>
      </c>
      <c r="O45" s="43" t="str">
        <f>SP64!D88</f>
        <v>Sieger 75</v>
      </c>
      <c r="P45" s="44">
        <f>SP64!F88</f>
        <v>0</v>
      </c>
      <c r="Q45" s="45" t="str">
        <f>SP64!E77</f>
        <v>Verlierer 54</v>
      </c>
      <c r="R45" s="46">
        <f>SP64!G77</f>
        <v>0</v>
      </c>
      <c r="V45" s="45" t="str">
        <f>SP64!E24</f>
        <v>Spieler 54</v>
      </c>
      <c r="W45" s="46">
        <f>SP64!G24</f>
        <v>0</v>
      </c>
      <c r="Y45" s="48" t="s">
        <v>1094</v>
      </c>
      <c r="Z45" s="42">
        <f>SP64!C96</f>
        <v>94</v>
      </c>
      <c r="AA45" s="43" t="str">
        <f>SP64!D96</f>
        <v>Sieger 59</v>
      </c>
      <c r="AB45" s="44">
        <f>SP64!F96</f>
        <v>0</v>
      </c>
    </row>
    <row r="46" spans="12:28" ht="13.5" thickBot="1">
      <c r="L46" s="42">
        <f>SP64!C104</f>
        <v>102</v>
      </c>
      <c r="M46" s="43" t="str">
        <f>SP64!D104</f>
        <v>Sieger 86</v>
      </c>
      <c r="N46" s="44">
        <f>SP64!F104</f>
        <v>0</v>
      </c>
      <c r="O46" s="45" t="str">
        <f>SP64!E88</f>
        <v>Sieger 76</v>
      </c>
      <c r="P46" s="46">
        <f>SP64!G88</f>
        <v>0</v>
      </c>
      <c r="U46" s="42">
        <f>SP64!C25</f>
        <v>23</v>
      </c>
      <c r="V46" s="43" t="str">
        <f>SP64!D25</f>
        <v>Spieler 14</v>
      </c>
      <c r="W46" s="44">
        <f>SP64!F25</f>
        <v>0</v>
      </c>
      <c r="Z46" s="41"/>
      <c r="AA46" s="45" t="str">
        <f>SP64!E96</f>
        <v>Sieger 60</v>
      </c>
      <c r="AB46" s="46">
        <f>SP64!G96</f>
        <v>0</v>
      </c>
    </row>
    <row r="47" spans="12:27" ht="13.5" thickBot="1">
      <c r="L47" s="41"/>
      <c r="M47" s="45" t="str">
        <f>SP64!E104</f>
        <v>Verlierer 95</v>
      </c>
      <c r="N47" s="46">
        <f>SP64!G104</f>
        <v>0</v>
      </c>
      <c r="R47" s="42">
        <f>SP64!C46</f>
        <v>44</v>
      </c>
      <c r="S47" s="43" t="str">
        <f>SP64!D46</f>
        <v>Verlierer 23</v>
      </c>
      <c r="T47" s="44">
        <f>SP64!F46</f>
        <v>0</v>
      </c>
      <c r="V47" s="45" t="str">
        <f>SP64!E25</f>
        <v>Spieler 46</v>
      </c>
      <c r="W47" s="46">
        <f>SP64!G25</f>
        <v>0</v>
      </c>
      <c r="X47" s="42">
        <f>SP64!C62</f>
        <v>60</v>
      </c>
      <c r="Y47" s="43" t="str">
        <f>SP64!D62</f>
        <v>Sieger 23</v>
      </c>
      <c r="Z47" s="44">
        <f>SP64!F62</f>
        <v>0</v>
      </c>
      <c r="AA47" s="48" t="s">
        <v>1111</v>
      </c>
    </row>
    <row r="48" spans="16:26" ht="13.5" thickBot="1">
      <c r="P48" s="42">
        <f>SP64!C78</f>
        <v>76</v>
      </c>
      <c r="Q48" s="43" t="str">
        <f>SP64!D78</f>
        <v>Sieger 44</v>
      </c>
      <c r="R48" s="44">
        <f>SP64!F78</f>
        <v>0</v>
      </c>
      <c r="S48" s="45" t="str">
        <f>SP64!E46</f>
        <v>Verlierer 24</v>
      </c>
      <c r="T48" s="46">
        <f>SP64!G46</f>
        <v>0</v>
      </c>
      <c r="U48" s="42">
        <f>SP64!C26</f>
        <v>24</v>
      </c>
      <c r="V48" s="43" t="str">
        <f>SP64!D26</f>
        <v>Spieler 30</v>
      </c>
      <c r="W48" s="44">
        <f>SP64!F26</f>
        <v>0</v>
      </c>
      <c r="X48" s="41"/>
      <c r="Y48" s="45" t="str">
        <f>SP64!E62</f>
        <v>Sieger 24</v>
      </c>
      <c r="Z48" s="46">
        <f>SP64!G62</f>
        <v>0</v>
      </c>
    </row>
    <row r="49" spans="16:32" ht="13.5" thickBot="1">
      <c r="P49" s="41"/>
      <c r="Q49" s="45" t="str">
        <f>SP64!E78</f>
        <v>Verlierer 53</v>
      </c>
      <c r="R49" s="46">
        <f>SP64!G78</f>
        <v>0</v>
      </c>
      <c r="V49" s="45" t="str">
        <f>SP64!E26</f>
        <v>Spieler 62</v>
      </c>
      <c r="W49" s="46">
        <f>SP64!G26</f>
        <v>0</v>
      </c>
      <c r="Y49" s="48" t="s">
        <v>1093</v>
      </c>
      <c r="AD49" s="42">
        <f>SP64!C122</f>
        <v>120</v>
      </c>
      <c r="AE49" s="43" t="str">
        <f>SP64!D122</f>
        <v>Sieger 111</v>
      </c>
      <c r="AF49" s="44">
        <f>SP64!F122</f>
        <v>0</v>
      </c>
    </row>
    <row r="50" spans="6:32" ht="13.5" thickBot="1">
      <c r="F50" s="42">
        <f>SP64!C120</f>
        <v>118</v>
      </c>
      <c r="G50" s="43" t="str">
        <f>SP64!D120</f>
        <v>Sieger 115</v>
      </c>
      <c r="H50" s="44">
        <f>SP64!F120</f>
        <v>0</v>
      </c>
      <c r="U50" s="42">
        <f>SP64!C27</f>
        <v>25</v>
      </c>
      <c r="V50" s="43" t="str">
        <f>SP64!D27</f>
        <v>Spieler 4</v>
      </c>
      <c r="W50" s="44">
        <f>SP64!F27</f>
        <v>0</v>
      </c>
      <c r="AD50" s="41"/>
      <c r="AE50" s="45" t="str">
        <f>SP64!E122</f>
        <v>Sieger 112</v>
      </c>
      <c r="AF50" s="46">
        <f>SP64!G122</f>
        <v>0</v>
      </c>
    </row>
    <row r="51" spans="4:31" ht="13.5" thickBot="1">
      <c r="D51" s="42">
        <f>SP64!C124</f>
        <v>122</v>
      </c>
      <c r="E51" s="43" t="str">
        <f>SP64!D124</f>
        <v>Sieger 118</v>
      </c>
      <c r="F51" s="44">
        <f>SP64!F124</f>
        <v>0</v>
      </c>
      <c r="G51" s="45" t="str">
        <f>SP64!E120</f>
        <v>Sieger 116</v>
      </c>
      <c r="H51" s="46">
        <f>SP64!G120</f>
        <v>0</v>
      </c>
      <c r="R51" s="42">
        <f>SP64!C47</f>
        <v>45</v>
      </c>
      <c r="S51" s="43" t="str">
        <f>SP64!D47</f>
        <v>Verlierer 25</v>
      </c>
      <c r="T51" s="44">
        <f>SP64!F47</f>
        <v>0</v>
      </c>
      <c r="V51" s="45" t="str">
        <f>SP64!E27</f>
        <v>Spieler 36</v>
      </c>
      <c r="W51" s="46">
        <f>SP64!G27</f>
        <v>0</v>
      </c>
      <c r="X51" s="42">
        <f>SP64!C63</f>
        <v>61</v>
      </c>
      <c r="Y51" s="43" t="str">
        <f>SP64!D63</f>
        <v>Sieger 25</v>
      </c>
      <c r="Z51" s="44">
        <f>SP64!F63</f>
        <v>0</v>
      </c>
      <c r="AE51" s="48" t="s">
        <v>1118</v>
      </c>
    </row>
    <row r="52" spans="4:34" ht="13.5" thickBot="1">
      <c r="D52" s="41"/>
      <c r="E52" s="45" t="str">
        <f>SP64!E124</f>
        <v>Verlierer 120</v>
      </c>
      <c r="F52" s="46">
        <f>SP64!G124</f>
        <v>0</v>
      </c>
      <c r="P52" s="42">
        <f>SP64!C79</f>
        <v>77</v>
      </c>
      <c r="Q52" s="43" t="str">
        <f>SP64!D79</f>
        <v>Sieger 45</v>
      </c>
      <c r="R52" s="44">
        <f>SP64!F79</f>
        <v>0</v>
      </c>
      <c r="S52" s="45" t="str">
        <f>SP64!E47</f>
        <v>Verlierer 26</v>
      </c>
      <c r="T52" s="46">
        <f>SP64!G47</f>
        <v>0</v>
      </c>
      <c r="U52" s="42">
        <f>SP64!C28</f>
        <v>26</v>
      </c>
      <c r="V52" s="43" t="str">
        <f>SP64!D28</f>
        <v>Spieler 20</v>
      </c>
      <c r="W52" s="44">
        <f>SP64!F28</f>
        <v>0</v>
      </c>
      <c r="X52" s="41"/>
      <c r="Y52" s="45" t="str">
        <f>SP64!E63</f>
        <v>Sieger 26</v>
      </c>
      <c r="Z52" s="46">
        <f>SP64!G63</f>
        <v>0</v>
      </c>
      <c r="AF52" s="41"/>
      <c r="AG52" s="47" t="str">
        <f>SP64!B128</f>
        <v>Finale</v>
      </c>
      <c r="AH52" s="5"/>
    </row>
    <row r="53" spans="14:34" ht="13.5" thickBot="1">
      <c r="N53" s="42">
        <f>SP64!C89</f>
        <v>87</v>
      </c>
      <c r="O53" s="43" t="str">
        <f>SP64!D89</f>
        <v>Sieger 77</v>
      </c>
      <c r="P53" s="44">
        <f>SP64!F89</f>
        <v>0</v>
      </c>
      <c r="Q53" s="45" t="str">
        <f>SP64!E79</f>
        <v>Verlierer 52</v>
      </c>
      <c r="R53" s="46">
        <f>SP64!G79</f>
        <v>0</v>
      </c>
      <c r="V53" s="45" t="str">
        <f>SP64!E28</f>
        <v>Spieler 52</v>
      </c>
      <c r="W53" s="46">
        <f>SP64!G28</f>
        <v>0</v>
      </c>
      <c r="Y53" s="48" t="s">
        <v>1092</v>
      </c>
      <c r="Z53" s="42">
        <f>SP64!C97</f>
        <v>95</v>
      </c>
      <c r="AA53" s="43" t="str">
        <f>SP64!D97</f>
        <v>Sieger 61</v>
      </c>
      <c r="AB53" s="44">
        <f>SP64!F97</f>
        <v>0</v>
      </c>
      <c r="AF53" s="42">
        <f>SP64!C128</f>
        <v>126</v>
      </c>
      <c r="AG53" s="43" t="str">
        <f>SP64!D128</f>
        <v>Sieger 124</v>
      </c>
      <c r="AH53" s="44">
        <f>SP64!F128</f>
        <v>0</v>
      </c>
    </row>
    <row r="54" spans="12:34" ht="13.5" thickBot="1">
      <c r="L54" s="42">
        <f>SP64!C105</f>
        <v>103</v>
      </c>
      <c r="M54" s="43" t="str">
        <f>SP64!D105</f>
        <v>Sieger 87</v>
      </c>
      <c r="N54" s="44">
        <f>SP64!F105</f>
        <v>0</v>
      </c>
      <c r="O54" s="45" t="str">
        <f>SP64!E89</f>
        <v>Sieger 78</v>
      </c>
      <c r="P54" s="46">
        <f>SP64!G89</f>
        <v>0</v>
      </c>
      <c r="U54" s="42">
        <f>SP64!C29</f>
        <v>27</v>
      </c>
      <c r="V54" s="43" t="str">
        <f>SP64!D29</f>
        <v>Spieler 12</v>
      </c>
      <c r="W54" s="44">
        <f>SP64!F29</f>
        <v>0</v>
      </c>
      <c r="Z54" s="41"/>
      <c r="AA54" s="45" t="str">
        <f>SP64!E97</f>
        <v>Sieger 62</v>
      </c>
      <c r="AB54" s="46">
        <f>SP64!G97</f>
        <v>0</v>
      </c>
      <c r="AF54" s="41"/>
      <c r="AG54" s="45" t="str">
        <f>SP64!E128</f>
        <v>Sieger 125</v>
      </c>
      <c r="AH54" s="46">
        <f>SP64!G128</f>
        <v>0</v>
      </c>
    </row>
    <row r="55" spans="2:27" ht="13.5" thickBot="1">
      <c r="B55" s="41"/>
      <c r="C55" s="47" t="str">
        <f>SP64!B127</f>
        <v>VR10</v>
      </c>
      <c r="D55" s="5"/>
      <c r="L55" s="41"/>
      <c r="M55" s="45" t="str">
        <f>SP64!E105</f>
        <v>Verlierer 94</v>
      </c>
      <c r="N55" s="46">
        <f>SP64!G105</f>
        <v>0</v>
      </c>
      <c r="R55" s="42">
        <f>SP64!C48</f>
        <v>46</v>
      </c>
      <c r="S55" s="43" t="str">
        <f>SP64!D48</f>
        <v>Verlierer 27</v>
      </c>
      <c r="T55" s="44">
        <f>SP64!F48</f>
        <v>0</v>
      </c>
      <c r="V55" s="45" t="str">
        <f>SP64!E29</f>
        <v>Spieler 44</v>
      </c>
      <c r="W55" s="46">
        <f>SP64!G29</f>
        <v>0</v>
      </c>
      <c r="X55" s="42">
        <f>SP64!C64</f>
        <v>62</v>
      </c>
      <c r="Y55" s="43" t="str">
        <f>SP64!D64</f>
        <v>Sieger 27</v>
      </c>
      <c r="Z55" s="44">
        <f>SP64!F64</f>
        <v>0</v>
      </c>
      <c r="AA55" s="48" t="s">
        <v>1110</v>
      </c>
    </row>
    <row r="56" spans="2:34" ht="13.5" thickBot="1">
      <c r="B56" s="42">
        <v>125</v>
      </c>
      <c r="C56" s="43" t="str">
        <f>SP64!D127</f>
        <v>Sieger 123</v>
      </c>
      <c r="D56" s="44">
        <f>SP64!F127</f>
        <v>0</v>
      </c>
      <c r="P56" s="42">
        <f>SP64!C80</f>
        <v>78</v>
      </c>
      <c r="Q56" s="43" t="str">
        <f>SP64!D80</f>
        <v>Sieger 46</v>
      </c>
      <c r="R56" s="44">
        <f>SP64!F80</f>
        <v>0</v>
      </c>
      <c r="S56" s="45" t="str">
        <f>SP64!E48</f>
        <v>Verlierer 28</v>
      </c>
      <c r="T56" s="46">
        <f>SP64!G48</f>
        <v>0</v>
      </c>
      <c r="U56" s="42">
        <f>SP64!C30</f>
        <v>28</v>
      </c>
      <c r="V56" s="43" t="str">
        <f>SP64!D30</f>
        <v>Spieler 28</v>
      </c>
      <c r="W56" s="44">
        <f>SP64!F30</f>
        <v>0</v>
      </c>
      <c r="X56" s="41"/>
      <c r="Y56" s="45" t="str">
        <f>SP64!E64</f>
        <v>Sieger 28</v>
      </c>
      <c r="Z56" s="46">
        <f>SP64!G64</f>
        <v>0</v>
      </c>
      <c r="AF56" s="41"/>
      <c r="AG56" s="47" t="str">
        <f>SP64!B129</f>
        <v>Finale</v>
      </c>
      <c r="AH56" s="5"/>
    </row>
    <row r="57" spans="2:34" ht="13.5" thickBot="1">
      <c r="B57" s="41"/>
      <c r="C57" s="45" t="str">
        <f>SP64!E127</f>
        <v>Verlierer 124</v>
      </c>
      <c r="D57" s="46">
        <f>SP64!G127</f>
        <v>0</v>
      </c>
      <c r="P57" s="41"/>
      <c r="Q57" s="45" t="str">
        <f>SP64!E80</f>
        <v>Verlierer 51</v>
      </c>
      <c r="R57" s="46">
        <f>SP64!G80</f>
        <v>0</v>
      </c>
      <c r="V57" s="45" t="str">
        <f>SP64!E30</f>
        <v>Spieler 60</v>
      </c>
      <c r="W57" s="46">
        <f>SP64!G30</f>
        <v>0</v>
      </c>
      <c r="Y57" s="48" t="s">
        <v>1091</v>
      </c>
      <c r="AB57" s="42">
        <f>SP64!C114</f>
        <v>112</v>
      </c>
      <c r="AC57" s="43" t="str">
        <f>SP64!D114</f>
        <v>Sieger 95</v>
      </c>
      <c r="AD57" s="44">
        <f>SP64!F114</f>
        <v>0</v>
      </c>
      <c r="AF57" s="42">
        <f>SP64!C129</f>
        <v>127</v>
      </c>
      <c r="AG57" s="43" t="str">
        <f>SP64!D129</f>
        <v>Sieger 126</v>
      </c>
      <c r="AH57" s="44">
        <f>SP64!F129</f>
        <v>0</v>
      </c>
    </row>
    <row r="58" spans="3:34" ht="13.5" thickBot="1">
      <c r="C58" t="s">
        <v>1120</v>
      </c>
      <c r="J58" s="42">
        <f>SP64!C110</f>
        <v>108</v>
      </c>
      <c r="K58" s="43" t="str">
        <f>SP64!D110</f>
        <v>Sieger 103</v>
      </c>
      <c r="L58" s="44">
        <f>SP64!F110</f>
        <v>0</v>
      </c>
      <c r="U58" s="42">
        <f>SP64!C31</f>
        <v>29</v>
      </c>
      <c r="V58" s="43" t="str">
        <f>SP64!D31</f>
        <v>Spieler 8</v>
      </c>
      <c r="W58" s="44">
        <f>SP64!F31</f>
        <v>0</v>
      </c>
      <c r="AB58" s="41"/>
      <c r="AC58" s="45" t="str">
        <f>SP64!E114</f>
        <v>Sieger 96</v>
      </c>
      <c r="AD58" s="46">
        <f>SP64!G114</f>
        <v>0</v>
      </c>
      <c r="AF58" s="41"/>
      <c r="AG58" s="45" t="str">
        <f>SP64!E129</f>
        <v>Verlierer 126</v>
      </c>
      <c r="AH58" s="46">
        <f>SP64!G129</f>
        <v>0</v>
      </c>
    </row>
    <row r="59" spans="3:29" ht="13.5" thickBot="1">
      <c r="C59" s="47" t="s">
        <v>897</v>
      </c>
      <c r="H59" s="42">
        <f>SP64!C118</f>
        <v>116</v>
      </c>
      <c r="I59" s="43" t="str">
        <f>SP64!D118</f>
        <v>Sieger 108</v>
      </c>
      <c r="J59" s="44">
        <f>SP64!F118</f>
        <v>0</v>
      </c>
      <c r="K59" s="45" t="str">
        <f>SP64!E110</f>
        <v>Sieger 104</v>
      </c>
      <c r="L59" s="46">
        <f>SP64!G110</f>
        <v>0</v>
      </c>
      <c r="R59" s="42">
        <f>SP64!C49</f>
        <v>47</v>
      </c>
      <c r="S59" s="43" t="str">
        <f>SP64!D49</f>
        <v>Verlierer 29</v>
      </c>
      <c r="T59" s="44">
        <f>SP64!F49</f>
        <v>0</v>
      </c>
      <c r="V59" s="45" t="str">
        <f>SP64!E31</f>
        <v>Spieler 40</v>
      </c>
      <c r="W59" s="46">
        <f>SP64!G31</f>
        <v>0</v>
      </c>
      <c r="X59" s="42">
        <f>SP64!C65</f>
        <v>63</v>
      </c>
      <c r="Y59" s="43" t="str">
        <f>SP64!D65</f>
        <v>Sieger 29</v>
      </c>
      <c r="Z59" s="44">
        <f>SP64!F65</f>
        <v>0</v>
      </c>
      <c r="AC59" s="48" t="s">
        <v>1114</v>
      </c>
    </row>
    <row r="60" spans="8:32" ht="13.5" thickBot="1">
      <c r="H60" s="41"/>
      <c r="I60" s="45" t="str">
        <f>SP64!E118</f>
        <v>Verlierer 110</v>
      </c>
      <c r="J60" s="46">
        <f>SP64!G118</f>
        <v>0</v>
      </c>
      <c r="P60" s="42">
        <f>SP64!C81</f>
        <v>79</v>
      </c>
      <c r="Q60" s="43" t="str">
        <f>SP64!D81</f>
        <v>Sieger 47</v>
      </c>
      <c r="R60" s="44">
        <f>SP64!F81</f>
        <v>0</v>
      </c>
      <c r="S60" s="45" t="str">
        <f>SP64!E49</f>
        <v>Verlierer 30</v>
      </c>
      <c r="T60" s="46">
        <f>SP64!G49</f>
        <v>0</v>
      </c>
      <c r="U60" s="42">
        <f>SP64!C32</f>
        <v>30</v>
      </c>
      <c r="V60" s="43" t="str">
        <f>SP64!D32</f>
        <v>Spieler 24</v>
      </c>
      <c r="W60" s="44">
        <f>SP64!F32</f>
        <v>0</v>
      </c>
      <c r="X60" s="41"/>
      <c r="Y60" s="45" t="str">
        <f>SP64!E65</f>
        <v>Sieger 30</v>
      </c>
      <c r="Z60" s="46">
        <f>SP64!G65</f>
        <v>0</v>
      </c>
      <c r="AF60" t="s">
        <v>898</v>
      </c>
    </row>
    <row r="61" spans="14:28" ht="13.5" thickBot="1">
      <c r="N61" s="42">
        <f>SP64!C90</f>
        <v>88</v>
      </c>
      <c r="O61" s="43" t="str">
        <f>SP64!D90</f>
        <v>Sieger 79</v>
      </c>
      <c r="P61" s="44">
        <f>SP64!F90</f>
        <v>0</v>
      </c>
      <c r="Q61" s="45" t="str">
        <f>SP64!E81</f>
        <v>Verlierer 50</v>
      </c>
      <c r="R61" s="46">
        <f>SP64!G81</f>
        <v>0</v>
      </c>
      <c r="V61" s="45" t="str">
        <f>SP64!E32</f>
        <v>Spieler 56</v>
      </c>
      <c r="W61" s="46">
        <f>SP64!G32</f>
        <v>0</v>
      </c>
      <c r="Y61" s="48" t="s">
        <v>1090</v>
      </c>
      <c r="Z61" s="42">
        <f>SP64!C98</f>
        <v>96</v>
      </c>
      <c r="AA61" s="43" t="str">
        <f>SP64!D98</f>
        <v>Sieger 63</v>
      </c>
      <c r="AB61" s="44">
        <f>SP64!F98</f>
        <v>0</v>
      </c>
    </row>
    <row r="62" spans="12:28" ht="13.5" thickBot="1">
      <c r="L62" s="42">
        <f>SP64!C106</f>
        <v>104</v>
      </c>
      <c r="M62" s="43" t="str">
        <f>SP64!D106</f>
        <v>Sieger 88</v>
      </c>
      <c r="N62" s="44">
        <f>SP64!F106</f>
        <v>0</v>
      </c>
      <c r="O62" s="45" t="str">
        <f>SP64!E90</f>
        <v>Sieger 80</v>
      </c>
      <c r="P62" s="46">
        <f>SP64!G90</f>
        <v>0</v>
      </c>
      <c r="U62" s="42">
        <f>SP64!C33</f>
        <v>31</v>
      </c>
      <c r="V62" s="43" t="str">
        <f>SP64!D33</f>
        <v>Spieler 16</v>
      </c>
      <c r="W62" s="44">
        <f>SP64!F33</f>
        <v>0</v>
      </c>
      <c r="Z62" s="41"/>
      <c r="AA62" s="45" t="str">
        <f>SP64!E98</f>
        <v>Sieger 64</v>
      </c>
      <c r="AB62" s="46">
        <f>SP64!G98</f>
        <v>0</v>
      </c>
    </row>
    <row r="63" spans="12:27" ht="13.5" thickBot="1">
      <c r="L63" s="41"/>
      <c r="M63" s="45" t="str">
        <f>SP64!E106</f>
        <v>Verlierer 93</v>
      </c>
      <c r="N63" s="46">
        <f>SP64!G106</f>
        <v>0</v>
      </c>
      <c r="R63" s="42">
        <f>SP64!C50</f>
        <v>48</v>
      </c>
      <c r="S63" s="43" t="str">
        <f>SP64!D50</f>
        <v>Verlierer 31</v>
      </c>
      <c r="T63" s="44">
        <f>SP64!F50</f>
        <v>0</v>
      </c>
      <c r="V63" s="45" t="str">
        <f>SP64!E33</f>
        <v>Spieler 48</v>
      </c>
      <c r="W63" s="46">
        <f>SP64!G33</f>
        <v>0</v>
      </c>
      <c r="X63" s="42">
        <f>SP64!C66</f>
        <v>64</v>
      </c>
      <c r="Y63" s="43" t="str">
        <f>SP64!D66</f>
        <v>Sieger 31</v>
      </c>
      <c r="Z63" s="44">
        <f>SP64!F66</f>
        <v>0</v>
      </c>
      <c r="AA63" s="48" t="s">
        <v>1109</v>
      </c>
    </row>
    <row r="64" spans="16:26" ht="13.5" thickBot="1">
      <c r="P64" s="42">
        <f>SP64!C82</f>
        <v>80</v>
      </c>
      <c r="Q64" s="43" t="str">
        <f>SP64!D82</f>
        <v>Sieger 48</v>
      </c>
      <c r="R64" s="44">
        <f>SP64!F82</f>
        <v>0</v>
      </c>
      <c r="S64" s="45" t="str">
        <f>SP64!E50</f>
        <v>Verlierer 32</v>
      </c>
      <c r="T64" s="46">
        <f>SP64!G50</f>
        <v>0</v>
      </c>
      <c r="U64" s="42">
        <f>SP64!C34</f>
        <v>32</v>
      </c>
      <c r="V64" s="43" t="str">
        <f>SP64!D34</f>
        <v>Spieler 32</v>
      </c>
      <c r="W64" s="44">
        <f>SP64!F34</f>
        <v>0</v>
      </c>
      <c r="X64" s="41"/>
      <c r="Y64" s="45" t="str">
        <f>SP64!E66</f>
        <v>Sieger 32</v>
      </c>
      <c r="Z64" s="46">
        <f>SP64!G66</f>
        <v>0</v>
      </c>
    </row>
    <row r="65" spans="17:25" ht="13.5" thickBot="1">
      <c r="Q65" s="45" t="str">
        <f>SP64!E82</f>
        <v>Verlierer 49</v>
      </c>
      <c r="R65" s="46">
        <f>SP64!G82</f>
        <v>0</v>
      </c>
      <c r="V65" s="45" t="str">
        <f>SP64!E34</f>
        <v>Spieler 64</v>
      </c>
      <c r="W65" s="46">
        <f>SP64!G34</f>
        <v>0</v>
      </c>
      <c r="Y65" s="48" t="s">
        <v>1089</v>
      </c>
    </row>
  </sheetData>
  <sheetProtection sheet="1" objects="1" scenarios="1"/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2:I14"/>
  <sheetViews>
    <sheetView showGridLines="0" showRowColHeaders="0" showOutlineSymbols="0" zoomScalePageLayoutView="0" workbookViewId="0" topLeftCell="A1">
      <selection activeCell="A14" sqref="A14:I14"/>
    </sheetView>
  </sheetViews>
  <sheetFormatPr defaultColWidth="11.421875" defaultRowHeight="12.75"/>
  <cols>
    <col min="8" max="8" width="12.57421875" style="0" bestFit="1" customWidth="1"/>
  </cols>
  <sheetData>
    <row r="2" spans="2:8" ht="30">
      <c r="B2" s="253">
        <f>IF(Auslosung_Turnierdaten!G76="","",Auslosung_Turnierdaten!G76)</f>
      </c>
      <c r="C2" s="253"/>
      <c r="D2" s="253"/>
      <c r="E2" s="253"/>
      <c r="F2" s="253"/>
      <c r="G2" s="253"/>
      <c r="H2" s="253"/>
    </row>
    <row r="3" spans="2:8" ht="12.75">
      <c r="B3" s="255">
        <f>IF(Auslosung_Turnierdaten!G78="","",Auslosung_Turnierdaten!G78)</f>
      </c>
      <c r="C3" s="255"/>
      <c r="D3" s="255"/>
      <c r="E3" s="255"/>
      <c r="F3" s="255"/>
      <c r="G3" s="255"/>
      <c r="H3" s="255"/>
    </row>
    <row r="4" spans="2:8" ht="15">
      <c r="B4" s="256">
        <f>IF(Auslosung_Turnierdaten!G77="","",Auslosung_Turnierdaten!G77)</f>
      </c>
      <c r="C4" s="256"/>
      <c r="D4" s="256"/>
      <c r="E4" s="256"/>
      <c r="F4" s="256"/>
      <c r="G4" s="256"/>
      <c r="H4" s="256"/>
    </row>
    <row r="5" spans="2:8" ht="15">
      <c r="B5" s="54"/>
      <c r="C5" s="54"/>
      <c r="D5" s="54"/>
      <c r="E5" s="54"/>
      <c r="F5" s="54"/>
      <c r="G5" s="54"/>
      <c r="H5" s="54"/>
    </row>
    <row r="6" spans="2:5" ht="18">
      <c r="B6" s="55"/>
      <c r="C6" s="55"/>
      <c r="D6" s="55"/>
      <c r="E6" s="55"/>
    </row>
    <row r="7" spans="1:9" ht="18">
      <c r="A7" s="56"/>
      <c r="B7" s="257" t="s">
        <v>1122</v>
      </c>
      <c r="C7" s="258"/>
      <c r="D7" s="57">
        <v>126</v>
      </c>
      <c r="E7" s="58"/>
      <c r="F7" s="257" t="s">
        <v>1123</v>
      </c>
      <c r="G7" s="258"/>
      <c r="H7" s="59">
        <f>VLOOKUP($D$7,SP64,10,0)</f>
        <v>0</v>
      </c>
      <c r="I7" s="60"/>
    </row>
    <row r="8" ht="18">
      <c r="C8" s="55"/>
    </row>
    <row r="9" spans="2:8" ht="23.25">
      <c r="B9" s="254" t="str">
        <f>VLOOKUP($D$7,SP64,2,0)</f>
        <v>Sieger 124</v>
      </c>
      <c r="C9" s="254"/>
      <c r="D9" s="254"/>
      <c r="E9" s="61" t="s">
        <v>1124</v>
      </c>
      <c r="F9" s="254" t="str">
        <f>VLOOKUP($D$7,SP64,3,0)</f>
        <v>Sieger 125</v>
      </c>
      <c r="G9" s="254"/>
      <c r="H9" s="254"/>
    </row>
    <row r="10" spans="2:8" ht="12.75">
      <c r="B10" s="251" t="s">
        <v>1125</v>
      </c>
      <c r="C10" s="251"/>
      <c r="D10" s="251"/>
      <c r="E10" s="62"/>
      <c r="F10" s="251" t="s">
        <v>1126</v>
      </c>
      <c r="G10" s="251"/>
      <c r="H10" s="251"/>
    </row>
    <row r="11" spans="2:8" ht="23.25">
      <c r="B11" s="252" t="s">
        <v>1127</v>
      </c>
      <c r="C11" s="252"/>
      <c r="D11" s="252"/>
      <c r="E11" s="61" t="s">
        <v>1124</v>
      </c>
      <c r="F11" s="252" t="s">
        <v>1127</v>
      </c>
      <c r="G11" s="252"/>
      <c r="H11" s="252"/>
    </row>
    <row r="12" spans="2:8" ht="23.25">
      <c r="B12" s="63"/>
      <c r="C12" s="63"/>
      <c r="D12" s="63"/>
      <c r="E12" s="61"/>
      <c r="F12" s="63"/>
      <c r="G12" s="63"/>
      <c r="H12" s="63"/>
    </row>
    <row r="13" spans="1:9" ht="12.75">
      <c r="A13" s="250" t="s">
        <v>1128</v>
      </c>
      <c r="B13" s="250"/>
      <c r="C13" s="250"/>
      <c r="D13" s="250"/>
      <c r="E13" s="250"/>
      <c r="F13" s="250"/>
      <c r="G13" s="250"/>
      <c r="H13" s="250"/>
      <c r="I13" s="250"/>
    </row>
    <row r="14" spans="1:9" ht="12.75">
      <c r="A14" s="250"/>
      <c r="B14" s="250"/>
      <c r="C14" s="250"/>
      <c r="D14" s="250"/>
      <c r="E14" s="250"/>
      <c r="F14" s="250"/>
      <c r="G14" s="250"/>
      <c r="H14" s="250"/>
      <c r="I14" s="250"/>
    </row>
  </sheetData>
  <sheetProtection/>
  <mergeCells count="13">
    <mergeCell ref="B4:H4"/>
    <mergeCell ref="B7:C7"/>
    <mergeCell ref="F7:G7"/>
    <mergeCell ref="A14:I14"/>
    <mergeCell ref="F10:H10"/>
    <mergeCell ref="B11:D11"/>
    <mergeCell ref="F11:H11"/>
    <mergeCell ref="A13:I13"/>
    <mergeCell ref="B2:H2"/>
    <mergeCell ref="B9:D9"/>
    <mergeCell ref="F9:H9"/>
    <mergeCell ref="B10:D10"/>
    <mergeCell ref="B3:H3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11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O68"/>
  <sheetViews>
    <sheetView showGridLines="0" showRowColHeaders="0" showOutlineSymbols="0" zoomScale="75" zoomScaleNormal="75" zoomScalePageLayoutView="0" workbookViewId="0" topLeftCell="A1">
      <selection activeCell="P15" sqref="P15"/>
    </sheetView>
  </sheetViews>
  <sheetFormatPr defaultColWidth="11.421875" defaultRowHeight="12.75"/>
  <cols>
    <col min="1" max="1" width="8.140625" style="2" customWidth="1"/>
    <col min="2" max="3" width="4.7109375" style="2" customWidth="1"/>
    <col min="4" max="4" width="18.8515625" style="2" bestFit="1" customWidth="1"/>
    <col min="5" max="5" width="19.8515625" style="2" bestFit="1" customWidth="1"/>
    <col min="6" max="6" width="9.140625" style="2" customWidth="1"/>
    <col min="7" max="7" width="6.28125" style="2" customWidth="1"/>
    <col min="8" max="8" width="6.8515625" style="2" customWidth="1"/>
    <col min="9" max="9" width="3.7109375" style="2" customWidth="1"/>
    <col min="10" max="10" width="3.57421875" style="2" customWidth="1"/>
    <col min="11" max="11" width="5.00390625" style="2" customWidth="1"/>
    <col min="12" max="12" width="5.28125" style="4" customWidth="1"/>
    <col min="13" max="13" width="8.7109375" style="27" bestFit="1" customWidth="1"/>
    <col min="14" max="14" width="5.8515625" style="27" customWidth="1"/>
    <col min="15" max="15" width="5.57421875" style="2" customWidth="1"/>
    <col min="16" max="16384" width="11.421875" style="2" customWidth="1"/>
  </cols>
  <sheetData>
    <row r="1" ht="16.5" thickBot="1">
      <c r="D1" s="225">
        <f>IF(Auslosung_Turnierdaten!G76="","",Auslosung_Turnierdaten!G76)&amp;IF(Auslosung_Turnierdaten!G77="",""," - "&amp;Auslosung_Turnierdaten!G77)</f>
      </c>
    </row>
    <row r="2" spans="3:15" ht="13.5" thickBot="1">
      <c r="C2" s="17" t="s">
        <v>1027</v>
      </c>
      <c r="D2" s="20" t="str">
        <f>SP64!W67</f>
        <v>Name, Vorname</v>
      </c>
      <c r="E2" s="18" t="str">
        <f>SP64!X67</f>
        <v>Verein</v>
      </c>
      <c r="F2" s="18" t="str">
        <f>SP64!Y67</f>
        <v>Verein_Nr</v>
      </c>
      <c r="G2" s="18" t="str">
        <f>SP64!Z67</f>
        <v>Lfd_Nr</v>
      </c>
      <c r="H2" s="18" t="str">
        <f>SP64!AA67</f>
        <v>Punkte</v>
      </c>
      <c r="I2" s="18" t="str">
        <f>SP64!AB67</f>
        <v>GP</v>
      </c>
      <c r="J2" s="18" t="str">
        <f>SP64!AC67</f>
        <v>VP</v>
      </c>
      <c r="K2" s="18" t="str">
        <f>SP64!AD67</f>
        <v>GSp</v>
      </c>
      <c r="L2" s="18" t="str">
        <f>SP64!AE67</f>
        <v>VSp</v>
      </c>
      <c r="M2" s="28" t="str">
        <f>SP64!AF67</f>
        <v>Quot</v>
      </c>
      <c r="N2" s="28">
        <f>SP64!AG67</f>
      </c>
      <c r="O2" s="19">
        <f>SP64!AH67</f>
      </c>
    </row>
    <row r="3" spans="3:15" ht="12.75">
      <c r="C3" s="198">
        <v>1</v>
      </c>
      <c r="D3" s="24" t="s">
        <v>422</v>
      </c>
      <c r="E3" s="10" t="s">
        <v>487</v>
      </c>
      <c r="F3" s="10">
        <v>0</v>
      </c>
      <c r="G3" s="10">
        <v>111</v>
      </c>
      <c r="H3" s="10">
        <v>0</v>
      </c>
      <c r="I3" s="10">
        <v>0</v>
      </c>
      <c r="J3" s="10">
        <v>0</v>
      </c>
      <c r="K3" s="10">
        <v>0</v>
      </c>
      <c r="L3" s="15">
        <v>0</v>
      </c>
      <c r="M3" s="11">
        <v>0</v>
      </c>
      <c r="N3" s="11" t="s">
        <v>1083</v>
      </c>
      <c r="O3" s="12" t="s">
        <v>1083</v>
      </c>
    </row>
    <row r="4" spans="3:15" ht="12.75">
      <c r="C4" s="199">
        <v>2</v>
      </c>
      <c r="D4" s="25" t="s">
        <v>423</v>
      </c>
      <c r="E4" s="3" t="s">
        <v>488</v>
      </c>
      <c r="F4" s="3">
        <v>0</v>
      </c>
      <c r="G4" s="3">
        <v>112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9">
        <v>0</v>
      </c>
      <c r="N4" s="9" t="s">
        <v>1083</v>
      </c>
      <c r="O4" s="6" t="s">
        <v>1083</v>
      </c>
    </row>
    <row r="5" spans="3:15" ht="12.75">
      <c r="C5" s="199">
        <v>3</v>
      </c>
      <c r="D5" s="25" t="s">
        <v>424</v>
      </c>
      <c r="E5" s="3" t="s">
        <v>489</v>
      </c>
      <c r="F5" s="3">
        <v>0</v>
      </c>
      <c r="G5" s="3">
        <v>113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9">
        <v>0</v>
      </c>
      <c r="N5" s="9" t="s">
        <v>1083</v>
      </c>
      <c r="O5" s="6" t="s">
        <v>1083</v>
      </c>
    </row>
    <row r="6" spans="3:15" ht="12.75">
      <c r="C6" s="199">
        <v>4</v>
      </c>
      <c r="D6" s="25" t="s">
        <v>425</v>
      </c>
      <c r="E6" s="3" t="s">
        <v>490</v>
      </c>
      <c r="F6" s="3">
        <v>0</v>
      </c>
      <c r="G6" s="3">
        <v>114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9">
        <v>0</v>
      </c>
      <c r="N6" s="9" t="s">
        <v>1083</v>
      </c>
      <c r="O6" s="6" t="s">
        <v>1083</v>
      </c>
    </row>
    <row r="7" spans="3:15" ht="12.75">
      <c r="C7" s="199">
        <v>5</v>
      </c>
      <c r="D7" s="25" t="s">
        <v>426</v>
      </c>
      <c r="E7" s="3" t="s">
        <v>491</v>
      </c>
      <c r="F7" s="3">
        <v>0</v>
      </c>
      <c r="G7" s="3">
        <v>115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9">
        <v>0</v>
      </c>
      <c r="N7" s="9" t="s">
        <v>1083</v>
      </c>
      <c r="O7" s="6" t="s">
        <v>1083</v>
      </c>
    </row>
    <row r="8" spans="3:15" ht="12.75">
      <c r="C8" s="199">
        <v>6</v>
      </c>
      <c r="D8" s="25" t="s">
        <v>427</v>
      </c>
      <c r="E8" s="3" t="s">
        <v>492</v>
      </c>
      <c r="F8" s="3">
        <v>0</v>
      </c>
      <c r="G8" s="3">
        <v>116</v>
      </c>
      <c r="H8" s="3">
        <v>0</v>
      </c>
      <c r="I8" s="3">
        <v>0</v>
      </c>
      <c r="J8" s="3">
        <v>0</v>
      </c>
      <c r="K8" s="3">
        <v>0</v>
      </c>
      <c r="L8" s="14">
        <v>0</v>
      </c>
      <c r="M8" s="9">
        <v>0</v>
      </c>
      <c r="N8" s="9" t="s">
        <v>1083</v>
      </c>
      <c r="O8" s="6" t="s">
        <v>1083</v>
      </c>
    </row>
    <row r="9" spans="3:15" ht="12.75">
      <c r="C9" s="199">
        <v>7</v>
      </c>
      <c r="D9" s="25" t="s">
        <v>428</v>
      </c>
      <c r="E9" s="3" t="s">
        <v>493</v>
      </c>
      <c r="F9" s="3">
        <v>0</v>
      </c>
      <c r="G9" s="3">
        <v>117</v>
      </c>
      <c r="H9" s="3">
        <v>0</v>
      </c>
      <c r="I9" s="3">
        <v>0</v>
      </c>
      <c r="J9" s="3">
        <v>0</v>
      </c>
      <c r="K9" s="3">
        <v>0</v>
      </c>
      <c r="L9" s="14">
        <v>0</v>
      </c>
      <c r="M9" s="9">
        <v>0</v>
      </c>
      <c r="N9" s="9" t="s">
        <v>1083</v>
      </c>
      <c r="O9" s="6" t="s">
        <v>1083</v>
      </c>
    </row>
    <row r="10" spans="3:15" ht="12.75">
      <c r="C10" s="199">
        <v>8</v>
      </c>
      <c r="D10" s="25" t="s">
        <v>429</v>
      </c>
      <c r="E10" s="3" t="s">
        <v>494</v>
      </c>
      <c r="F10" s="3">
        <v>0</v>
      </c>
      <c r="G10" s="3">
        <v>118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9">
        <v>0</v>
      </c>
      <c r="N10" s="9" t="s">
        <v>1083</v>
      </c>
      <c r="O10" s="6" t="s">
        <v>1083</v>
      </c>
    </row>
    <row r="11" spans="1:15" ht="12.75">
      <c r="A11" s="244"/>
      <c r="B11" s="244"/>
      <c r="C11" s="199">
        <v>9</v>
      </c>
      <c r="D11" s="25" t="s">
        <v>430</v>
      </c>
      <c r="E11" s="3" t="s">
        <v>495</v>
      </c>
      <c r="F11" s="3">
        <v>0</v>
      </c>
      <c r="G11" s="3">
        <v>119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9">
        <v>0</v>
      </c>
      <c r="N11" s="9" t="s">
        <v>1083</v>
      </c>
      <c r="O11" s="6" t="s">
        <v>1083</v>
      </c>
    </row>
    <row r="12" spans="1:15" ht="12.75">
      <c r="A12" s="244"/>
      <c r="B12" s="244"/>
      <c r="C12" s="199">
        <v>10</v>
      </c>
      <c r="D12" s="25" t="s">
        <v>431</v>
      </c>
      <c r="E12" s="3" t="s">
        <v>496</v>
      </c>
      <c r="F12" s="3">
        <v>0</v>
      </c>
      <c r="G12" s="3">
        <v>120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9">
        <v>0</v>
      </c>
      <c r="N12" s="9" t="s">
        <v>1083</v>
      </c>
      <c r="O12" s="6" t="s">
        <v>1083</v>
      </c>
    </row>
    <row r="13" spans="1:15" ht="12.75">
      <c r="A13" s="244"/>
      <c r="B13" s="244"/>
      <c r="C13" s="199">
        <v>11</v>
      </c>
      <c r="D13" s="25" t="s">
        <v>432</v>
      </c>
      <c r="E13" s="3" t="s">
        <v>497</v>
      </c>
      <c r="F13" s="3">
        <v>0</v>
      </c>
      <c r="G13" s="3">
        <v>121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9">
        <v>0</v>
      </c>
      <c r="N13" s="9" t="s">
        <v>1083</v>
      </c>
      <c r="O13" s="6" t="s">
        <v>1083</v>
      </c>
    </row>
    <row r="14" spans="1:15" ht="12.75">
      <c r="A14" s="244"/>
      <c r="B14" s="244"/>
      <c r="C14" s="199">
        <v>12</v>
      </c>
      <c r="D14" s="25" t="s">
        <v>433</v>
      </c>
      <c r="E14" s="3" t="s">
        <v>498</v>
      </c>
      <c r="F14" s="3">
        <v>0</v>
      </c>
      <c r="G14" s="3">
        <v>122</v>
      </c>
      <c r="H14" s="3">
        <v>0</v>
      </c>
      <c r="I14" s="3">
        <v>0</v>
      </c>
      <c r="J14" s="3">
        <v>0</v>
      </c>
      <c r="K14" s="3">
        <v>0</v>
      </c>
      <c r="L14" s="14">
        <v>0</v>
      </c>
      <c r="M14" s="9">
        <v>0</v>
      </c>
      <c r="N14" s="9" t="s">
        <v>1083</v>
      </c>
      <c r="O14" s="6" t="s">
        <v>1083</v>
      </c>
    </row>
    <row r="15" spans="1:15" ht="12.75">
      <c r="A15" s="244"/>
      <c r="B15" s="244"/>
      <c r="C15" s="199">
        <v>13</v>
      </c>
      <c r="D15" s="25" t="s">
        <v>434</v>
      </c>
      <c r="E15" s="3" t="s">
        <v>499</v>
      </c>
      <c r="F15" s="3">
        <v>0</v>
      </c>
      <c r="G15" s="3">
        <v>123</v>
      </c>
      <c r="H15" s="3">
        <v>0</v>
      </c>
      <c r="I15" s="3">
        <v>0</v>
      </c>
      <c r="J15" s="3">
        <v>0</v>
      </c>
      <c r="K15" s="3">
        <v>0</v>
      </c>
      <c r="L15" s="14">
        <v>0</v>
      </c>
      <c r="M15" s="9">
        <v>0</v>
      </c>
      <c r="N15" s="9" t="s">
        <v>1083</v>
      </c>
      <c r="O15" s="6" t="s">
        <v>1083</v>
      </c>
    </row>
    <row r="16" spans="1:15" ht="12.75">
      <c r="A16" s="244"/>
      <c r="B16" s="244"/>
      <c r="C16" s="199">
        <v>14</v>
      </c>
      <c r="D16" s="25" t="s">
        <v>435</v>
      </c>
      <c r="E16" s="3" t="s">
        <v>500</v>
      </c>
      <c r="F16" s="3">
        <v>0</v>
      </c>
      <c r="G16" s="3">
        <v>124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9">
        <v>0</v>
      </c>
      <c r="N16" s="9" t="s">
        <v>1083</v>
      </c>
      <c r="O16" s="6" t="s">
        <v>1083</v>
      </c>
    </row>
    <row r="17" spans="1:15" ht="12.75">
      <c r="A17" s="244"/>
      <c r="B17" s="244"/>
      <c r="C17" s="199">
        <v>15</v>
      </c>
      <c r="D17" s="25" t="s">
        <v>436</v>
      </c>
      <c r="E17" s="3" t="s">
        <v>501</v>
      </c>
      <c r="F17" s="3">
        <v>0</v>
      </c>
      <c r="G17" s="3">
        <v>125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9">
        <v>0</v>
      </c>
      <c r="N17" s="9" t="s">
        <v>1083</v>
      </c>
      <c r="O17" s="6" t="s">
        <v>1083</v>
      </c>
    </row>
    <row r="18" spans="1:15" ht="12.75">
      <c r="A18" s="244"/>
      <c r="B18" s="244"/>
      <c r="C18" s="199">
        <v>16</v>
      </c>
      <c r="D18" s="25" t="s">
        <v>437</v>
      </c>
      <c r="E18" s="3" t="s">
        <v>502</v>
      </c>
      <c r="F18" s="3">
        <v>0</v>
      </c>
      <c r="G18" s="3">
        <v>126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9">
        <v>0</v>
      </c>
      <c r="N18" s="9" t="s">
        <v>1083</v>
      </c>
      <c r="O18" s="6" t="s">
        <v>1083</v>
      </c>
    </row>
    <row r="19" spans="1:15" ht="12.75">
      <c r="A19" s="244"/>
      <c r="B19" s="244"/>
      <c r="C19" s="199">
        <v>17</v>
      </c>
      <c r="D19" s="25" t="s">
        <v>438</v>
      </c>
      <c r="E19" s="3" t="s">
        <v>503</v>
      </c>
      <c r="F19" s="3">
        <v>0</v>
      </c>
      <c r="G19" s="3">
        <v>127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9">
        <v>0</v>
      </c>
      <c r="N19" s="9" t="s">
        <v>1083</v>
      </c>
      <c r="O19" s="6" t="s">
        <v>1083</v>
      </c>
    </row>
    <row r="20" spans="1:15" ht="12.75">
      <c r="A20" s="244"/>
      <c r="B20" s="244"/>
      <c r="C20" s="199">
        <v>18</v>
      </c>
      <c r="D20" s="25" t="s">
        <v>439</v>
      </c>
      <c r="E20" s="3" t="s">
        <v>504</v>
      </c>
      <c r="F20" s="3">
        <v>0</v>
      </c>
      <c r="G20" s="3">
        <v>128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9">
        <v>0</v>
      </c>
      <c r="N20" s="9" t="s">
        <v>1083</v>
      </c>
      <c r="O20" s="6" t="s">
        <v>1083</v>
      </c>
    </row>
    <row r="21" spans="1:15" ht="12.75">
      <c r="A21" s="244"/>
      <c r="B21" s="244"/>
      <c r="C21" s="199">
        <v>19</v>
      </c>
      <c r="D21" s="25" t="s">
        <v>440</v>
      </c>
      <c r="E21" s="3" t="s">
        <v>505</v>
      </c>
      <c r="F21" s="3">
        <v>0</v>
      </c>
      <c r="G21" s="3">
        <v>129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9">
        <v>0</v>
      </c>
      <c r="N21" s="9" t="s">
        <v>1083</v>
      </c>
      <c r="O21" s="6" t="s">
        <v>1083</v>
      </c>
    </row>
    <row r="22" spans="1:15" ht="12.75">
      <c r="A22" s="244"/>
      <c r="B22" s="244"/>
      <c r="C22" s="199">
        <v>20</v>
      </c>
      <c r="D22" s="25" t="s">
        <v>441</v>
      </c>
      <c r="E22" s="3" t="s">
        <v>506</v>
      </c>
      <c r="F22" s="3">
        <v>0</v>
      </c>
      <c r="G22" s="3">
        <v>130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9">
        <v>0</v>
      </c>
      <c r="N22" s="9" t="s">
        <v>1083</v>
      </c>
      <c r="O22" s="6" t="s">
        <v>1083</v>
      </c>
    </row>
    <row r="23" spans="1:15" ht="12.75">
      <c r="A23" s="244"/>
      <c r="B23" s="244"/>
      <c r="C23" s="199">
        <v>21</v>
      </c>
      <c r="D23" s="25" t="s">
        <v>442</v>
      </c>
      <c r="E23" s="3" t="s">
        <v>507</v>
      </c>
      <c r="F23" s="3">
        <v>0</v>
      </c>
      <c r="G23" s="3">
        <v>131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9">
        <v>0</v>
      </c>
      <c r="N23" s="9" t="s">
        <v>1083</v>
      </c>
      <c r="O23" s="6" t="s">
        <v>1083</v>
      </c>
    </row>
    <row r="24" spans="1:15" ht="12.75">
      <c r="A24" s="244"/>
      <c r="B24" s="244"/>
      <c r="C24" s="199">
        <v>22</v>
      </c>
      <c r="D24" s="25" t="s">
        <v>443</v>
      </c>
      <c r="E24" s="3" t="s">
        <v>508</v>
      </c>
      <c r="F24" s="3">
        <v>0</v>
      </c>
      <c r="G24" s="3">
        <v>132</v>
      </c>
      <c r="H24" s="3">
        <v>0</v>
      </c>
      <c r="I24" s="3">
        <v>0</v>
      </c>
      <c r="J24" s="3">
        <v>0</v>
      </c>
      <c r="K24" s="3">
        <v>0</v>
      </c>
      <c r="L24" s="14">
        <v>0</v>
      </c>
      <c r="M24" s="9">
        <v>0</v>
      </c>
      <c r="N24" s="9" t="s">
        <v>1083</v>
      </c>
      <c r="O24" s="6" t="s">
        <v>1083</v>
      </c>
    </row>
    <row r="25" spans="1:15" ht="12.75">
      <c r="A25" s="244"/>
      <c r="B25" s="244"/>
      <c r="C25" s="199">
        <v>23</v>
      </c>
      <c r="D25" s="25" t="s">
        <v>444</v>
      </c>
      <c r="E25" s="3" t="s">
        <v>509</v>
      </c>
      <c r="F25" s="3">
        <v>0</v>
      </c>
      <c r="G25" s="3">
        <v>133</v>
      </c>
      <c r="H25" s="3">
        <v>0</v>
      </c>
      <c r="I25" s="3">
        <v>0</v>
      </c>
      <c r="J25" s="3">
        <v>0</v>
      </c>
      <c r="K25" s="3">
        <v>0</v>
      </c>
      <c r="L25" s="14">
        <v>0</v>
      </c>
      <c r="M25" s="9">
        <v>0</v>
      </c>
      <c r="N25" s="9" t="s">
        <v>1083</v>
      </c>
      <c r="O25" s="6" t="s">
        <v>1083</v>
      </c>
    </row>
    <row r="26" spans="1:15" ht="12.75">
      <c r="A26" s="244"/>
      <c r="B26" s="244"/>
      <c r="C26" s="199">
        <v>24</v>
      </c>
      <c r="D26" s="25" t="s">
        <v>445</v>
      </c>
      <c r="E26" s="3" t="s">
        <v>510</v>
      </c>
      <c r="F26" s="3">
        <v>0</v>
      </c>
      <c r="G26" s="3">
        <v>134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9">
        <v>0</v>
      </c>
      <c r="N26" s="9" t="s">
        <v>1083</v>
      </c>
      <c r="O26" s="6" t="s">
        <v>1083</v>
      </c>
    </row>
    <row r="27" spans="1:15" ht="12.75">
      <c r="A27" s="244"/>
      <c r="B27" s="244"/>
      <c r="C27" s="199">
        <v>25</v>
      </c>
      <c r="D27" s="25" t="s">
        <v>446</v>
      </c>
      <c r="E27" s="3" t="s">
        <v>511</v>
      </c>
      <c r="F27" s="3">
        <v>0</v>
      </c>
      <c r="G27" s="3">
        <v>135</v>
      </c>
      <c r="H27" s="3">
        <v>0</v>
      </c>
      <c r="I27" s="3">
        <v>0</v>
      </c>
      <c r="J27" s="3">
        <v>0</v>
      </c>
      <c r="K27" s="3">
        <v>0</v>
      </c>
      <c r="L27" s="14">
        <v>0</v>
      </c>
      <c r="M27" s="9">
        <v>0</v>
      </c>
      <c r="N27" s="9" t="s">
        <v>1083</v>
      </c>
      <c r="O27" s="6" t="s">
        <v>1083</v>
      </c>
    </row>
    <row r="28" spans="1:15" ht="12.75">
      <c r="A28" s="244"/>
      <c r="B28" s="244"/>
      <c r="C28" s="199">
        <v>26</v>
      </c>
      <c r="D28" s="25" t="s">
        <v>447</v>
      </c>
      <c r="E28" s="3" t="s">
        <v>512</v>
      </c>
      <c r="F28" s="3">
        <v>0</v>
      </c>
      <c r="G28" s="3">
        <v>136</v>
      </c>
      <c r="H28" s="3">
        <v>0</v>
      </c>
      <c r="I28" s="3">
        <v>0</v>
      </c>
      <c r="J28" s="3">
        <v>0</v>
      </c>
      <c r="K28" s="3">
        <v>0</v>
      </c>
      <c r="L28" s="14">
        <v>0</v>
      </c>
      <c r="M28" s="9">
        <v>0</v>
      </c>
      <c r="N28" s="9" t="s">
        <v>1083</v>
      </c>
      <c r="O28" s="6" t="s">
        <v>1083</v>
      </c>
    </row>
    <row r="29" spans="1:15" ht="12.75">
      <c r="A29" s="244"/>
      <c r="B29" s="244"/>
      <c r="C29" s="199">
        <v>27</v>
      </c>
      <c r="D29" s="25" t="s">
        <v>448</v>
      </c>
      <c r="E29" s="3" t="s">
        <v>513</v>
      </c>
      <c r="F29" s="3">
        <v>0</v>
      </c>
      <c r="G29" s="3">
        <v>137</v>
      </c>
      <c r="H29" s="3">
        <v>0</v>
      </c>
      <c r="I29" s="3">
        <v>0</v>
      </c>
      <c r="J29" s="3">
        <v>0</v>
      </c>
      <c r="K29" s="3">
        <v>0</v>
      </c>
      <c r="L29" s="14">
        <v>0</v>
      </c>
      <c r="M29" s="9">
        <v>0</v>
      </c>
      <c r="N29" s="9" t="s">
        <v>1083</v>
      </c>
      <c r="O29" s="6" t="s">
        <v>1083</v>
      </c>
    </row>
    <row r="30" spans="1:15" ht="12.75">
      <c r="A30" s="244"/>
      <c r="B30" s="244"/>
      <c r="C30" s="199">
        <v>28</v>
      </c>
      <c r="D30" s="25" t="s">
        <v>449</v>
      </c>
      <c r="E30" s="3" t="s">
        <v>514</v>
      </c>
      <c r="F30" s="3">
        <v>0</v>
      </c>
      <c r="G30" s="3">
        <v>138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9">
        <v>0</v>
      </c>
      <c r="N30" s="9" t="s">
        <v>1083</v>
      </c>
      <c r="O30" s="6" t="s">
        <v>1083</v>
      </c>
    </row>
    <row r="31" spans="1:15" ht="12.75">
      <c r="A31" s="244"/>
      <c r="B31" s="244"/>
      <c r="C31" s="199">
        <v>29</v>
      </c>
      <c r="D31" s="25" t="s">
        <v>450</v>
      </c>
      <c r="E31" s="3" t="s">
        <v>515</v>
      </c>
      <c r="F31" s="3">
        <v>0</v>
      </c>
      <c r="G31" s="3">
        <v>139</v>
      </c>
      <c r="H31" s="3">
        <v>0</v>
      </c>
      <c r="I31" s="3">
        <v>0</v>
      </c>
      <c r="J31" s="3">
        <v>0</v>
      </c>
      <c r="K31" s="3">
        <v>0</v>
      </c>
      <c r="L31" s="14">
        <v>0</v>
      </c>
      <c r="M31" s="9">
        <v>0</v>
      </c>
      <c r="N31" s="9" t="s">
        <v>1083</v>
      </c>
      <c r="O31" s="6" t="s">
        <v>1083</v>
      </c>
    </row>
    <row r="32" spans="1:15" ht="12.75">
      <c r="A32" s="244"/>
      <c r="B32" s="244"/>
      <c r="C32" s="199">
        <v>30</v>
      </c>
      <c r="D32" s="25" t="s">
        <v>451</v>
      </c>
      <c r="E32" s="3" t="s">
        <v>516</v>
      </c>
      <c r="F32" s="3">
        <v>0</v>
      </c>
      <c r="G32" s="3">
        <v>140</v>
      </c>
      <c r="H32" s="3">
        <v>0</v>
      </c>
      <c r="I32" s="3">
        <v>0</v>
      </c>
      <c r="J32" s="3">
        <v>0</v>
      </c>
      <c r="K32" s="3">
        <v>0</v>
      </c>
      <c r="L32" s="14">
        <v>0</v>
      </c>
      <c r="M32" s="9">
        <v>0</v>
      </c>
      <c r="N32" s="9" t="s">
        <v>1083</v>
      </c>
      <c r="O32" s="6" t="s">
        <v>1083</v>
      </c>
    </row>
    <row r="33" spans="1:15" ht="12.75">
      <c r="A33" s="244"/>
      <c r="B33" s="244"/>
      <c r="C33" s="199">
        <v>31</v>
      </c>
      <c r="D33" s="25" t="s">
        <v>452</v>
      </c>
      <c r="E33" s="3" t="s">
        <v>517</v>
      </c>
      <c r="F33" s="3">
        <v>0</v>
      </c>
      <c r="G33" s="3">
        <v>141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9">
        <v>0</v>
      </c>
      <c r="N33" s="9" t="s">
        <v>1083</v>
      </c>
      <c r="O33" s="6" t="s">
        <v>1083</v>
      </c>
    </row>
    <row r="34" spans="1:15" ht="12.75">
      <c r="A34" s="244"/>
      <c r="B34" s="244"/>
      <c r="C34" s="199">
        <v>32</v>
      </c>
      <c r="D34" s="25" t="s">
        <v>453</v>
      </c>
      <c r="E34" s="3" t="s">
        <v>518</v>
      </c>
      <c r="F34" s="3">
        <v>0</v>
      </c>
      <c r="G34" s="3">
        <v>142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9">
        <v>0</v>
      </c>
      <c r="N34" s="9" t="s">
        <v>1083</v>
      </c>
      <c r="O34" s="6" t="s">
        <v>1083</v>
      </c>
    </row>
    <row r="35" spans="1:15" ht="12.75">
      <c r="A35" s="244"/>
      <c r="B35" s="244">
        <f>IF(Auslosung_Turnierdaten!F41="","",33)</f>
      </c>
      <c r="C35" s="199">
        <v>33</v>
      </c>
      <c r="D35" s="25" t="s">
        <v>454</v>
      </c>
      <c r="E35" s="3" t="s">
        <v>519</v>
      </c>
      <c r="F35" s="3">
        <v>0</v>
      </c>
      <c r="G35" s="3">
        <v>143</v>
      </c>
      <c r="H35" s="3">
        <v>0</v>
      </c>
      <c r="I35" s="3">
        <v>0</v>
      </c>
      <c r="J35" s="3">
        <v>0</v>
      </c>
      <c r="K35" s="3">
        <v>0</v>
      </c>
      <c r="L35" s="14">
        <v>0</v>
      </c>
      <c r="M35" s="9">
        <v>0</v>
      </c>
      <c r="N35" s="9" t="s">
        <v>1083</v>
      </c>
      <c r="O35" s="6" t="s">
        <v>1083</v>
      </c>
    </row>
    <row r="36" spans="1:15" ht="12.75">
      <c r="A36" s="244"/>
      <c r="B36" s="244">
        <f>IF(Auslosung_Turnierdaten!F42="","",34)</f>
      </c>
      <c r="C36" s="199">
        <v>34</v>
      </c>
      <c r="D36" s="25" t="s">
        <v>455</v>
      </c>
      <c r="E36" s="3" t="s">
        <v>520</v>
      </c>
      <c r="F36" s="3">
        <v>0</v>
      </c>
      <c r="G36" s="3">
        <v>144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9">
        <v>0</v>
      </c>
      <c r="N36" s="9" t="s">
        <v>1083</v>
      </c>
      <c r="O36" s="6" t="s">
        <v>1083</v>
      </c>
    </row>
    <row r="37" spans="1:15" ht="12.75">
      <c r="A37" s="244"/>
      <c r="B37" s="244"/>
      <c r="C37" s="199">
        <v>35</v>
      </c>
      <c r="D37" s="25" t="s">
        <v>456</v>
      </c>
      <c r="E37" s="3" t="s">
        <v>521</v>
      </c>
      <c r="F37" s="3">
        <v>0</v>
      </c>
      <c r="G37" s="3">
        <v>145</v>
      </c>
      <c r="H37" s="3">
        <v>0</v>
      </c>
      <c r="I37" s="3">
        <v>0</v>
      </c>
      <c r="J37" s="3">
        <v>0</v>
      </c>
      <c r="K37" s="3">
        <v>0</v>
      </c>
      <c r="L37" s="14">
        <v>0</v>
      </c>
      <c r="M37" s="9">
        <v>0</v>
      </c>
      <c r="N37" s="9" t="s">
        <v>1083</v>
      </c>
      <c r="O37" s="6" t="s">
        <v>1083</v>
      </c>
    </row>
    <row r="38" spans="1:15" ht="12.75">
      <c r="A38" s="244"/>
      <c r="B38" s="244"/>
      <c r="C38" s="199">
        <v>36</v>
      </c>
      <c r="D38" s="25" t="s">
        <v>457</v>
      </c>
      <c r="E38" s="3" t="s">
        <v>522</v>
      </c>
      <c r="F38" s="3">
        <v>0</v>
      </c>
      <c r="G38" s="3">
        <v>146</v>
      </c>
      <c r="H38" s="3">
        <v>0</v>
      </c>
      <c r="I38" s="3">
        <v>0</v>
      </c>
      <c r="J38" s="3">
        <v>0</v>
      </c>
      <c r="K38" s="3">
        <v>0</v>
      </c>
      <c r="L38" s="14">
        <v>0</v>
      </c>
      <c r="M38" s="9">
        <v>0</v>
      </c>
      <c r="N38" s="9" t="s">
        <v>1083</v>
      </c>
      <c r="O38" s="6" t="s">
        <v>1083</v>
      </c>
    </row>
    <row r="39" spans="1:15" ht="12.75">
      <c r="A39" s="244"/>
      <c r="B39" s="244"/>
      <c r="C39" s="199">
        <v>37</v>
      </c>
      <c r="D39" s="25" t="s">
        <v>458</v>
      </c>
      <c r="E39" s="3" t="s">
        <v>523</v>
      </c>
      <c r="F39" s="3">
        <v>0</v>
      </c>
      <c r="G39" s="3">
        <v>147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9">
        <v>0</v>
      </c>
      <c r="N39" s="9" t="s">
        <v>1083</v>
      </c>
      <c r="O39" s="6" t="s">
        <v>1083</v>
      </c>
    </row>
    <row r="40" spans="1:15" ht="12.75">
      <c r="A40" s="244"/>
      <c r="B40" s="244"/>
      <c r="C40" s="199">
        <v>38</v>
      </c>
      <c r="D40" s="25" t="s">
        <v>459</v>
      </c>
      <c r="E40" s="3" t="s">
        <v>524</v>
      </c>
      <c r="F40" s="3">
        <v>0</v>
      </c>
      <c r="G40" s="3">
        <v>148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9">
        <v>0</v>
      </c>
      <c r="N40" s="9" t="s">
        <v>1083</v>
      </c>
      <c r="O40" s="6" t="s">
        <v>1083</v>
      </c>
    </row>
    <row r="41" spans="1:15" ht="12.75">
      <c r="A41" s="244"/>
      <c r="B41" s="244">
        <f>IF(Auslosung_Turnierdaten!F47="","",39)</f>
      </c>
      <c r="C41" s="199">
        <v>39</v>
      </c>
      <c r="D41" s="25" t="s">
        <v>460</v>
      </c>
      <c r="E41" s="3" t="s">
        <v>525</v>
      </c>
      <c r="F41" s="3">
        <v>0</v>
      </c>
      <c r="G41" s="3">
        <v>149</v>
      </c>
      <c r="H41" s="3">
        <v>0</v>
      </c>
      <c r="I41" s="3">
        <v>0</v>
      </c>
      <c r="J41" s="3">
        <v>0</v>
      </c>
      <c r="K41" s="3">
        <v>0</v>
      </c>
      <c r="L41" s="14">
        <v>0</v>
      </c>
      <c r="M41" s="9">
        <v>0</v>
      </c>
      <c r="N41" s="9" t="s">
        <v>1083</v>
      </c>
      <c r="O41" s="6" t="s">
        <v>1083</v>
      </c>
    </row>
    <row r="42" spans="1:15" ht="12.75">
      <c r="A42" s="244"/>
      <c r="B42" s="244">
        <f>IF(Auslosung_Turnierdaten!F48="","",40)</f>
      </c>
      <c r="C42" s="199">
        <v>40</v>
      </c>
      <c r="D42" s="25" t="s">
        <v>461</v>
      </c>
      <c r="E42" s="3" t="s">
        <v>526</v>
      </c>
      <c r="F42" s="3">
        <v>0</v>
      </c>
      <c r="G42" s="3">
        <v>150</v>
      </c>
      <c r="H42" s="3">
        <v>0</v>
      </c>
      <c r="I42" s="3">
        <v>0</v>
      </c>
      <c r="J42" s="3">
        <v>0</v>
      </c>
      <c r="K42" s="3">
        <v>0</v>
      </c>
      <c r="L42" s="14">
        <v>0</v>
      </c>
      <c r="M42" s="9">
        <v>0</v>
      </c>
      <c r="N42" s="9" t="s">
        <v>1083</v>
      </c>
      <c r="O42" s="6" t="s">
        <v>1083</v>
      </c>
    </row>
    <row r="43" spans="1:15" ht="12.75">
      <c r="A43" s="244"/>
      <c r="B43" s="244">
        <f>IF(Auslosung_Turnierdaten!F49="","",41)</f>
      </c>
      <c r="C43" s="199">
        <v>41</v>
      </c>
      <c r="D43" s="25" t="s">
        <v>462</v>
      </c>
      <c r="E43" s="3" t="s">
        <v>527</v>
      </c>
      <c r="F43" s="3">
        <v>0</v>
      </c>
      <c r="G43" s="3">
        <v>151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9">
        <v>0</v>
      </c>
      <c r="N43" s="9" t="s">
        <v>1083</v>
      </c>
      <c r="O43" s="6" t="s">
        <v>1083</v>
      </c>
    </row>
    <row r="44" spans="1:15" ht="12.75">
      <c r="A44" s="244"/>
      <c r="B44" s="244">
        <f>IF(Auslosung_Turnierdaten!F50="","",42)</f>
      </c>
      <c r="C44" s="199">
        <v>42</v>
      </c>
      <c r="D44" s="25" t="s">
        <v>463</v>
      </c>
      <c r="E44" s="3" t="s">
        <v>528</v>
      </c>
      <c r="F44" s="3">
        <v>0</v>
      </c>
      <c r="G44" s="3">
        <v>152</v>
      </c>
      <c r="H44" s="3">
        <v>0</v>
      </c>
      <c r="I44" s="3">
        <v>0</v>
      </c>
      <c r="J44" s="3">
        <v>0</v>
      </c>
      <c r="K44" s="3">
        <v>0</v>
      </c>
      <c r="L44" s="14">
        <v>0</v>
      </c>
      <c r="M44" s="9">
        <v>0</v>
      </c>
      <c r="N44" s="9" t="s">
        <v>1083</v>
      </c>
      <c r="O44" s="6" t="s">
        <v>1083</v>
      </c>
    </row>
    <row r="45" spans="1:15" ht="12.75">
      <c r="A45" s="244"/>
      <c r="B45" s="244">
        <f>IF(Auslosung_Turnierdaten!F51="","",43)</f>
      </c>
      <c r="C45" s="199">
        <v>43</v>
      </c>
      <c r="D45" s="25" t="s">
        <v>464</v>
      </c>
      <c r="E45" s="3" t="s">
        <v>529</v>
      </c>
      <c r="F45" s="3">
        <v>0</v>
      </c>
      <c r="G45" s="3">
        <v>153</v>
      </c>
      <c r="H45" s="3">
        <v>0</v>
      </c>
      <c r="I45" s="3">
        <v>0</v>
      </c>
      <c r="J45" s="3">
        <v>0</v>
      </c>
      <c r="K45" s="3">
        <v>0</v>
      </c>
      <c r="L45" s="14">
        <v>0</v>
      </c>
      <c r="M45" s="9">
        <v>0</v>
      </c>
      <c r="N45" s="9" t="s">
        <v>1083</v>
      </c>
      <c r="O45" s="6" t="s">
        <v>1083</v>
      </c>
    </row>
    <row r="46" spans="1:15" ht="12.75">
      <c r="A46" s="244"/>
      <c r="B46" s="244">
        <f>IF(Auslosung_Turnierdaten!F52="","",44)</f>
      </c>
      <c r="C46" s="199">
        <v>44</v>
      </c>
      <c r="D46" s="25" t="s">
        <v>465</v>
      </c>
      <c r="E46" s="3" t="s">
        <v>530</v>
      </c>
      <c r="F46" s="3">
        <v>0</v>
      </c>
      <c r="G46" s="3">
        <v>154</v>
      </c>
      <c r="H46" s="3">
        <v>0</v>
      </c>
      <c r="I46" s="3">
        <v>0</v>
      </c>
      <c r="J46" s="3">
        <v>0</v>
      </c>
      <c r="K46" s="3">
        <v>0</v>
      </c>
      <c r="L46" s="14">
        <v>0</v>
      </c>
      <c r="M46" s="9">
        <v>0</v>
      </c>
      <c r="N46" s="9" t="s">
        <v>1083</v>
      </c>
      <c r="O46" s="6" t="s">
        <v>1083</v>
      </c>
    </row>
    <row r="47" spans="1:15" ht="12.75">
      <c r="A47" s="244"/>
      <c r="B47" s="244">
        <f>IF(Auslosung_Turnierdaten!F53="","",45)</f>
      </c>
      <c r="C47" s="199">
        <v>45</v>
      </c>
      <c r="D47" s="25" t="s">
        <v>466</v>
      </c>
      <c r="E47" s="3" t="s">
        <v>531</v>
      </c>
      <c r="F47" s="3">
        <v>0</v>
      </c>
      <c r="G47" s="3">
        <v>155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9">
        <v>0</v>
      </c>
      <c r="N47" s="9" t="s">
        <v>1083</v>
      </c>
      <c r="O47" s="6" t="s">
        <v>1083</v>
      </c>
    </row>
    <row r="48" spans="1:15" ht="12.75">
      <c r="A48" s="244"/>
      <c r="B48" s="244">
        <f>IF(Auslosung_Turnierdaten!F54="","",46)</f>
      </c>
      <c r="C48" s="199">
        <v>46</v>
      </c>
      <c r="D48" s="25" t="s">
        <v>467</v>
      </c>
      <c r="E48" s="3" t="s">
        <v>532</v>
      </c>
      <c r="F48" s="3">
        <v>0</v>
      </c>
      <c r="G48" s="3">
        <v>156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9">
        <v>0</v>
      </c>
      <c r="N48" s="9" t="s">
        <v>1083</v>
      </c>
      <c r="O48" s="6" t="s">
        <v>1083</v>
      </c>
    </row>
    <row r="49" spans="1:15" ht="12.75">
      <c r="A49" s="244"/>
      <c r="B49" s="244">
        <f>IF(Auslosung_Turnierdaten!F55="","",47)</f>
      </c>
      <c r="C49" s="199">
        <v>47</v>
      </c>
      <c r="D49" s="25" t="s">
        <v>468</v>
      </c>
      <c r="E49" s="3" t="s">
        <v>533</v>
      </c>
      <c r="F49" s="3">
        <v>0</v>
      </c>
      <c r="G49" s="3">
        <v>157</v>
      </c>
      <c r="H49" s="3">
        <v>0</v>
      </c>
      <c r="I49" s="3">
        <v>0</v>
      </c>
      <c r="J49" s="3">
        <v>0</v>
      </c>
      <c r="K49" s="3">
        <v>0</v>
      </c>
      <c r="L49" s="14">
        <v>0</v>
      </c>
      <c r="M49" s="9">
        <v>0</v>
      </c>
      <c r="N49" s="9" t="s">
        <v>1083</v>
      </c>
      <c r="O49" s="6" t="s">
        <v>1083</v>
      </c>
    </row>
    <row r="50" spans="1:15" ht="12.75">
      <c r="A50" s="244"/>
      <c r="B50" s="244">
        <f>IF(Auslosung_Turnierdaten!F56="","",48)</f>
      </c>
      <c r="C50" s="199">
        <v>48</v>
      </c>
      <c r="D50" s="25" t="s">
        <v>469</v>
      </c>
      <c r="E50" s="3" t="s">
        <v>534</v>
      </c>
      <c r="F50" s="3">
        <v>0</v>
      </c>
      <c r="G50" s="3">
        <v>158</v>
      </c>
      <c r="H50" s="3">
        <v>0</v>
      </c>
      <c r="I50" s="3">
        <v>0</v>
      </c>
      <c r="J50" s="3">
        <v>0</v>
      </c>
      <c r="K50" s="3">
        <v>0</v>
      </c>
      <c r="L50" s="14">
        <v>0</v>
      </c>
      <c r="M50" s="9">
        <v>0</v>
      </c>
      <c r="N50" s="9" t="s">
        <v>1083</v>
      </c>
      <c r="O50" s="6" t="s">
        <v>1083</v>
      </c>
    </row>
    <row r="51" spans="1:15" ht="12.75">
      <c r="A51" s="244"/>
      <c r="B51" s="244">
        <f>IF(Auslosung_Turnierdaten!F57="","",49)</f>
      </c>
      <c r="C51" s="199">
        <v>49</v>
      </c>
      <c r="D51" s="25" t="s">
        <v>470</v>
      </c>
      <c r="E51" s="3" t="s">
        <v>535</v>
      </c>
      <c r="F51" s="3">
        <v>0</v>
      </c>
      <c r="G51" s="3">
        <v>159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9">
        <v>0</v>
      </c>
      <c r="N51" s="9" t="s">
        <v>1083</v>
      </c>
      <c r="O51" s="6" t="s">
        <v>1083</v>
      </c>
    </row>
    <row r="52" spans="1:15" ht="12.75">
      <c r="A52" s="244"/>
      <c r="B52" s="244">
        <f>IF(Auslosung_Turnierdaten!F58="","",50)</f>
      </c>
      <c r="C52" s="199">
        <v>50</v>
      </c>
      <c r="D52" s="25" t="s">
        <v>471</v>
      </c>
      <c r="E52" s="3" t="s">
        <v>536</v>
      </c>
      <c r="F52" s="3">
        <v>0</v>
      </c>
      <c r="G52" s="3">
        <v>160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9">
        <v>0</v>
      </c>
      <c r="N52" s="9" t="s">
        <v>1083</v>
      </c>
      <c r="O52" s="6" t="s">
        <v>1083</v>
      </c>
    </row>
    <row r="53" spans="1:15" ht="12.75">
      <c r="A53" s="244"/>
      <c r="B53" s="244">
        <f>IF(Auslosung_Turnierdaten!F59="","",51)</f>
      </c>
      <c r="C53" s="199">
        <v>51</v>
      </c>
      <c r="D53" s="25" t="s">
        <v>472</v>
      </c>
      <c r="E53" s="3" t="s">
        <v>537</v>
      </c>
      <c r="F53" s="3">
        <v>0</v>
      </c>
      <c r="G53" s="3">
        <v>161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9">
        <v>0</v>
      </c>
      <c r="N53" s="9" t="s">
        <v>1083</v>
      </c>
      <c r="O53" s="6" t="s">
        <v>1083</v>
      </c>
    </row>
    <row r="54" spans="1:15" ht="12.75">
      <c r="A54" s="244"/>
      <c r="B54" s="244">
        <f>IF(Auslosung_Turnierdaten!F60="","",52)</f>
      </c>
      <c r="C54" s="199">
        <v>52</v>
      </c>
      <c r="D54" s="25" t="s">
        <v>473</v>
      </c>
      <c r="E54" s="3" t="s">
        <v>538</v>
      </c>
      <c r="F54" s="3">
        <v>0</v>
      </c>
      <c r="G54" s="3">
        <v>162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9">
        <v>0</v>
      </c>
      <c r="N54" s="9" t="s">
        <v>1083</v>
      </c>
      <c r="O54" s="6" t="s">
        <v>1083</v>
      </c>
    </row>
    <row r="55" spans="1:15" ht="12.75">
      <c r="A55" s="244"/>
      <c r="B55" s="244">
        <f>IF(Auslosung_Turnierdaten!F61="","",53)</f>
      </c>
      <c r="C55" s="199">
        <v>53</v>
      </c>
      <c r="D55" s="25" t="s">
        <v>474</v>
      </c>
      <c r="E55" s="3" t="s">
        <v>539</v>
      </c>
      <c r="F55" s="3">
        <v>0</v>
      </c>
      <c r="G55" s="3">
        <v>163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9">
        <v>0</v>
      </c>
      <c r="N55" s="9" t="s">
        <v>1083</v>
      </c>
      <c r="O55" s="6" t="s">
        <v>1083</v>
      </c>
    </row>
    <row r="56" spans="1:15" ht="12.75">
      <c r="A56" s="244"/>
      <c r="B56" s="244">
        <f>IF(Auslosung_Turnierdaten!F62="","",54)</f>
      </c>
      <c r="C56" s="199">
        <v>54</v>
      </c>
      <c r="D56" s="25" t="s">
        <v>475</v>
      </c>
      <c r="E56" s="3" t="s">
        <v>540</v>
      </c>
      <c r="F56" s="3">
        <v>0</v>
      </c>
      <c r="G56" s="3">
        <v>164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9">
        <v>0</v>
      </c>
      <c r="N56" s="9" t="s">
        <v>1083</v>
      </c>
      <c r="O56" s="6" t="s">
        <v>1083</v>
      </c>
    </row>
    <row r="57" spans="1:15" ht="12.75">
      <c r="A57" s="244"/>
      <c r="B57" s="244">
        <f>IF(Auslosung_Turnierdaten!F63="","",55)</f>
      </c>
      <c r="C57" s="199">
        <v>55</v>
      </c>
      <c r="D57" s="25" t="s">
        <v>476</v>
      </c>
      <c r="E57" s="3" t="s">
        <v>541</v>
      </c>
      <c r="F57" s="3">
        <v>0</v>
      </c>
      <c r="G57" s="3">
        <v>165</v>
      </c>
      <c r="H57" s="3">
        <v>0</v>
      </c>
      <c r="I57" s="3">
        <v>0</v>
      </c>
      <c r="J57" s="3">
        <v>0</v>
      </c>
      <c r="K57" s="3">
        <v>0</v>
      </c>
      <c r="L57" s="14">
        <v>0</v>
      </c>
      <c r="M57" s="9">
        <v>0</v>
      </c>
      <c r="N57" s="9" t="s">
        <v>1083</v>
      </c>
      <c r="O57" s="6" t="s">
        <v>1083</v>
      </c>
    </row>
    <row r="58" spans="1:15" ht="12.75">
      <c r="A58" s="244"/>
      <c r="B58" s="244">
        <f>IF(Auslosung_Turnierdaten!F64="","",56)</f>
      </c>
      <c r="C58" s="199">
        <v>56</v>
      </c>
      <c r="D58" s="25" t="s">
        <v>477</v>
      </c>
      <c r="E58" s="3" t="s">
        <v>542</v>
      </c>
      <c r="F58" s="3">
        <v>0</v>
      </c>
      <c r="G58" s="3">
        <v>166</v>
      </c>
      <c r="H58" s="3">
        <v>0</v>
      </c>
      <c r="I58" s="3">
        <v>0</v>
      </c>
      <c r="J58" s="3">
        <v>0</v>
      </c>
      <c r="K58" s="3">
        <v>0</v>
      </c>
      <c r="L58" s="14">
        <v>0</v>
      </c>
      <c r="M58" s="9">
        <v>0</v>
      </c>
      <c r="N58" s="9" t="s">
        <v>1083</v>
      </c>
      <c r="O58" s="6" t="s">
        <v>1083</v>
      </c>
    </row>
    <row r="59" spans="1:15" ht="12.75">
      <c r="A59" s="244"/>
      <c r="B59" s="244">
        <f>IF(Auslosung_Turnierdaten!F65="","",57)</f>
      </c>
      <c r="C59" s="199">
        <v>57</v>
      </c>
      <c r="D59" s="25" t="s">
        <v>478</v>
      </c>
      <c r="E59" s="3" t="s">
        <v>543</v>
      </c>
      <c r="F59" s="3">
        <v>0</v>
      </c>
      <c r="G59" s="3">
        <v>167</v>
      </c>
      <c r="H59" s="3">
        <v>0</v>
      </c>
      <c r="I59" s="3">
        <v>0</v>
      </c>
      <c r="J59" s="3">
        <v>0</v>
      </c>
      <c r="K59" s="3">
        <v>0</v>
      </c>
      <c r="L59" s="14">
        <v>0</v>
      </c>
      <c r="M59" s="9">
        <v>0</v>
      </c>
      <c r="N59" s="9" t="s">
        <v>1083</v>
      </c>
      <c r="O59" s="6" t="s">
        <v>1083</v>
      </c>
    </row>
    <row r="60" spans="1:15" ht="12.75">
      <c r="A60" s="244"/>
      <c r="B60" s="244">
        <f>IF(Auslosung_Turnierdaten!F66="","",58)</f>
      </c>
      <c r="C60" s="199">
        <v>58</v>
      </c>
      <c r="D60" s="25" t="s">
        <v>479</v>
      </c>
      <c r="E60" s="3" t="s">
        <v>544</v>
      </c>
      <c r="F60" s="3">
        <v>0</v>
      </c>
      <c r="G60" s="3">
        <v>168</v>
      </c>
      <c r="H60" s="3">
        <v>0</v>
      </c>
      <c r="I60" s="3">
        <v>0</v>
      </c>
      <c r="J60" s="3">
        <v>0</v>
      </c>
      <c r="K60" s="3">
        <v>0</v>
      </c>
      <c r="L60" s="14">
        <v>0</v>
      </c>
      <c r="M60" s="9">
        <v>0</v>
      </c>
      <c r="N60" s="9" t="s">
        <v>1083</v>
      </c>
      <c r="O60" s="6" t="s">
        <v>1083</v>
      </c>
    </row>
    <row r="61" spans="1:15" ht="12.75">
      <c r="A61" s="244"/>
      <c r="B61" s="244">
        <f>IF(Auslosung_Turnierdaten!F67="","",59)</f>
      </c>
      <c r="C61" s="199">
        <v>59</v>
      </c>
      <c r="D61" s="25" t="s">
        <v>480</v>
      </c>
      <c r="E61" s="3" t="s">
        <v>545</v>
      </c>
      <c r="F61" s="3">
        <v>0</v>
      </c>
      <c r="G61" s="3">
        <v>169</v>
      </c>
      <c r="H61" s="3">
        <v>0</v>
      </c>
      <c r="I61" s="3">
        <v>0</v>
      </c>
      <c r="J61" s="3">
        <v>0</v>
      </c>
      <c r="K61" s="3">
        <v>0</v>
      </c>
      <c r="L61" s="14">
        <v>0</v>
      </c>
      <c r="M61" s="9">
        <v>0</v>
      </c>
      <c r="N61" s="9" t="s">
        <v>1083</v>
      </c>
      <c r="O61" s="6" t="s">
        <v>1083</v>
      </c>
    </row>
    <row r="62" spans="1:15" ht="12.75">
      <c r="A62" s="244"/>
      <c r="B62" s="244">
        <f>IF(Auslosung_Turnierdaten!F68="","",60)</f>
      </c>
      <c r="C62" s="199">
        <v>60</v>
      </c>
      <c r="D62" s="25" t="s">
        <v>481</v>
      </c>
      <c r="E62" s="3" t="s">
        <v>546</v>
      </c>
      <c r="F62" s="3">
        <v>0</v>
      </c>
      <c r="G62" s="3">
        <v>170</v>
      </c>
      <c r="H62" s="3">
        <v>0</v>
      </c>
      <c r="I62" s="3">
        <v>0</v>
      </c>
      <c r="J62" s="3">
        <v>0</v>
      </c>
      <c r="K62" s="3">
        <v>0</v>
      </c>
      <c r="L62" s="14">
        <v>0</v>
      </c>
      <c r="M62" s="9">
        <v>0</v>
      </c>
      <c r="N62" s="9" t="s">
        <v>1083</v>
      </c>
      <c r="O62" s="6" t="s">
        <v>1083</v>
      </c>
    </row>
    <row r="63" spans="1:15" ht="12.75">
      <c r="A63" s="244"/>
      <c r="B63" s="244">
        <f>IF(Auslosung_Turnierdaten!F69="","",61)</f>
      </c>
      <c r="C63" s="199">
        <v>61</v>
      </c>
      <c r="D63" s="25" t="s">
        <v>482</v>
      </c>
      <c r="E63" s="3" t="s">
        <v>547</v>
      </c>
      <c r="F63" s="3">
        <v>0</v>
      </c>
      <c r="G63" s="3">
        <v>171</v>
      </c>
      <c r="H63" s="3">
        <v>0</v>
      </c>
      <c r="I63" s="3">
        <v>0</v>
      </c>
      <c r="J63" s="3">
        <v>0</v>
      </c>
      <c r="K63" s="3">
        <v>0</v>
      </c>
      <c r="L63" s="14">
        <v>0</v>
      </c>
      <c r="M63" s="9">
        <v>0</v>
      </c>
      <c r="N63" s="9" t="s">
        <v>1083</v>
      </c>
      <c r="O63" s="6" t="s">
        <v>1083</v>
      </c>
    </row>
    <row r="64" spans="1:15" ht="12.75">
      <c r="A64" s="244"/>
      <c r="B64" s="244">
        <f>IF(Auslosung_Turnierdaten!F70="","",62)</f>
      </c>
      <c r="C64" s="199">
        <v>62</v>
      </c>
      <c r="D64" s="25" t="s">
        <v>483</v>
      </c>
      <c r="E64" s="3" t="s">
        <v>548</v>
      </c>
      <c r="F64" s="3">
        <v>0</v>
      </c>
      <c r="G64" s="3">
        <v>172</v>
      </c>
      <c r="H64" s="3">
        <v>0</v>
      </c>
      <c r="I64" s="3">
        <v>0</v>
      </c>
      <c r="J64" s="3">
        <v>0</v>
      </c>
      <c r="K64" s="3">
        <v>0</v>
      </c>
      <c r="L64" s="14">
        <v>0</v>
      </c>
      <c r="M64" s="9">
        <v>0</v>
      </c>
      <c r="N64" s="9" t="s">
        <v>1083</v>
      </c>
      <c r="O64" s="6" t="s">
        <v>1083</v>
      </c>
    </row>
    <row r="65" spans="1:15" ht="12.75">
      <c r="A65" s="244"/>
      <c r="B65" s="244">
        <f>IF(Auslosung_Turnierdaten!F71="","",63)</f>
      </c>
      <c r="C65" s="199">
        <v>63</v>
      </c>
      <c r="D65" s="25" t="s">
        <v>484</v>
      </c>
      <c r="E65" s="3" t="s">
        <v>549</v>
      </c>
      <c r="F65" s="3">
        <v>0</v>
      </c>
      <c r="G65" s="3">
        <v>173</v>
      </c>
      <c r="H65" s="3">
        <v>0</v>
      </c>
      <c r="I65" s="3">
        <v>0</v>
      </c>
      <c r="J65" s="3">
        <v>0</v>
      </c>
      <c r="K65" s="3">
        <v>0</v>
      </c>
      <c r="L65" s="14">
        <v>0</v>
      </c>
      <c r="M65" s="9">
        <v>0</v>
      </c>
      <c r="N65" s="9" t="s">
        <v>1083</v>
      </c>
      <c r="O65" s="6" t="s">
        <v>1083</v>
      </c>
    </row>
    <row r="66" spans="1:15" ht="13.5" thickBot="1">
      <c r="A66" s="244"/>
      <c r="B66" s="244">
        <f>IF(Auslosung_Turnierdaten!F72="","",64)</f>
      </c>
      <c r="C66" s="200">
        <v>64</v>
      </c>
      <c r="D66" s="26" t="s">
        <v>485</v>
      </c>
      <c r="E66" s="7" t="s">
        <v>550</v>
      </c>
      <c r="F66" s="7">
        <v>0</v>
      </c>
      <c r="G66" s="7">
        <v>174</v>
      </c>
      <c r="H66" s="7">
        <v>0</v>
      </c>
      <c r="I66" s="7">
        <v>0</v>
      </c>
      <c r="J66" s="7">
        <v>0</v>
      </c>
      <c r="K66" s="7">
        <v>0</v>
      </c>
      <c r="L66" s="16">
        <v>0</v>
      </c>
      <c r="M66" s="13">
        <v>0</v>
      </c>
      <c r="N66" s="13" t="s">
        <v>1083</v>
      </c>
      <c r="O66" s="8" t="s">
        <v>1083</v>
      </c>
    </row>
    <row r="67" spans="4:5" ht="15.75">
      <c r="D67" s="225" t="s">
        <v>1682</v>
      </c>
      <c r="E67" s="225">
        <f>IF(Auslosung_Turnierdaten!G80="","",Auslosung_Turnierdaten!G80)</f>
      </c>
    </row>
    <row r="68" spans="4:5" ht="15.75">
      <c r="D68" s="225" t="s">
        <v>1078</v>
      </c>
      <c r="E68" s="226">
        <f>IF(Auslosung_Turnierdaten!G78="","",Auslosung_Turnierdaten!G78)</f>
      </c>
    </row>
  </sheetData>
  <sheetProtection/>
  <printOptions/>
  <pageMargins left="0.787401575" right="0.787401575" top="0.984251969" bottom="0.984251969" header="0.4921259845" footer="0.4921259845"/>
  <pageSetup fitToHeight="1" fitToWidth="1"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M1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1" width="7.7109375" style="0" customWidth="1"/>
    <col min="12" max="12" width="8.140625" style="0" bestFit="1" customWidth="1"/>
    <col min="13" max="13" width="9.57421875" style="0" customWidth="1"/>
  </cols>
  <sheetData>
    <row r="1" spans="1:13" ht="12.75">
      <c r="A1" t="str">
        <f>SP64!B3</f>
        <v>HR</v>
      </c>
      <c r="B1">
        <f>SP64!C3</f>
        <v>1</v>
      </c>
      <c r="C1" t="e">
        <f>IF((SP64!D3)="Freilos",0,VLOOKUP(SP64!D3,'BA-Teilnehmer'!$G$6:$J$69,4,FALSE))</f>
        <v>#N/A</v>
      </c>
      <c r="D1" t="e">
        <f>IF((SP64!E3)="Freilos",0,VLOOKUP(SP64!E3,'BA-Teilnehmer'!$G$6:$J$69,4,FALSE))</f>
        <v>#N/A</v>
      </c>
      <c r="E1">
        <f>SP64!F3</f>
        <v>0</v>
      </c>
      <c r="F1">
        <f>SP64!G3</f>
        <v>0</v>
      </c>
      <c r="G1">
        <f>SP64!H3</f>
        <v>0</v>
      </c>
      <c r="H1">
        <f>SP64!I3</f>
        <v>0</v>
      </c>
      <c r="I1">
        <f>SP64!J3</f>
        <v>0</v>
      </c>
      <c r="J1">
        <f>SP64!K3</f>
        <v>0</v>
      </c>
      <c r="K1">
        <f>SP64!L3</f>
        <v>0</v>
      </c>
      <c r="L1" s="243">
        <f>SP64!AS3</f>
        <v>0</v>
      </c>
      <c r="M1" s="243">
        <f>SP64!AT3</f>
        <v>0</v>
      </c>
    </row>
    <row r="2" spans="1:13" ht="12.75">
      <c r="A2" t="str">
        <f>A1</f>
        <v>HR</v>
      </c>
      <c r="B2">
        <f>SP64!C4</f>
        <v>2</v>
      </c>
      <c r="C2" t="e">
        <f>IF((SP64!D4)="Freilos",0,VLOOKUP(SP64!D4,'BA-Teilnehmer'!$G$6:$J$69,4,FALSE))</f>
        <v>#N/A</v>
      </c>
      <c r="D2" t="e">
        <f>IF((SP64!E4)="Freilos",0,VLOOKUP(SP64!E4,'BA-Teilnehmer'!$G$6:$J$69,4,FALSE))</f>
        <v>#N/A</v>
      </c>
      <c r="E2">
        <f>SP64!F4</f>
        <v>0</v>
      </c>
      <c r="F2">
        <f>SP64!G4</f>
        <v>0</v>
      </c>
      <c r="G2">
        <f>SP64!H4</f>
        <v>0</v>
      </c>
      <c r="H2">
        <f>SP64!I4</f>
        <v>0</v>
      </c>
      <c r="I2">
        <f>SP64!J4</f>
        <v>0</v>
      </c>
      <c r="J2">
        <f>SP64!K4</f>
        <v>0</v>
      </c>
      <c r="K2">
        <f>SP64!L4</f>
        <v>0</v>
      </c>
      <c r="L2" s="243">
        <f>SP64!AS4</f>
        <v>0</v>
      </c>
      <c r="M2" s="243">
        <f>SP64!AT4</f>
        <v>0</v>
      </c>
    </row>
    <row r="3" spans="1:13" ht="12.75">
      <c r="A3" t="str">
        <f aca="true" t="shared" si="0" ref="A3:A32">A2</f>
        <v>HR</v>
      </c>
      <c r="B3">
        <f>SP64!C5</f>
        <v>3</v>
      </c>
      <c r="C3" t="e">
        <f>IF((SP64!D5)="Freilos",0,VLOOKUP(SP64!D5,'BA-Teilnehmer'!$G$6:$J$69,4,FALSE))</f>
        <v>#N/A</v>
      </c>
      <c r="D3" t="e">
        <f>IF((SP64!E5)="Freilos",0,VLOOKUP(SP64!E5,'BA-Teilnehmer'!$G$6:$J$69,4,FALSE))</f>
        <v>#N/A</v>
      </c>
      <c r="E3">
        <f>SP64!F5</f>
        <v>0</v>
      </c>
      <c r="F3">
        <f>SP64!G5</f>
        <v>0</v>
      </c>
      <c r="G3">
        <f>SP64!H5</f>
        <v>0</v>
      </c>
      <c r="H3">
        <f>SP64!I5</f>
        <v>0</v>
      </c>
      <c r="I3">
        <f>SP64!J5</f>
        <v>0</v>
      </c>
      <c r="J3">
        <f>SP64!K5</f>
        <v>0</v>
      </c>
      <c r="K3">
        <f>SP64!L5</f>
        <v>0</v>
      </c>
      <c r="L3" s="243">
        <f>SP64!AS5</f>
        <v>0</v>
      </c>
      <c r="M3" s="243">
        <f>SP64!AT5</f>
        <v>0</v>
      </c>
    </row>
    <row r="4" spans="1:13" ht="12.75">
      <c r="A4" t="str">
        <f t="shared" si="0"/>
        <v>HR</v>
      </c>
      <c r="B4">
        <f>SP64!C6</f>
        <v>4</v>
      </c>
      <c r="C4" t="e">
        <f>IF((SP64!D6)="Freilos",0,VLOOKUP(SP64!D6,'BA-Teilnehmer'!$G$6:$J$69,4,FALSE))</f>
        <v>#N/A</v>
      </c>
      <c r="D4" t="e">
        <f>IF((SP64!E6)="Freilos",0,VLOOKUP(SP64!E6,'BA-Teilnehmer'!$G$6:$J$69,4,FALSE))</f>
        <v>#N/A</v>
      </c>
      <c r="E4">
        <f>SP64!F6</f>
        <v>0</v>
      </c>
      <c r="F4">
        <f>SP64!G6</f>
        <v>0</v>
      </c>
      <c r="G4">
        <f>SP64!H6</f>
        <v>0</v>
      </c>
      <c r="H4">
        <f>SP64!I6</f>
        <v>0</v>
      </c>
      <c r="I4">
        <f>SP64!J6</f>
        <v>0</v>
      </c>
      <c r="J4">
        <f>SP64!K6</f>
        <v>0</v>
      </c>
      <c r="K4">
        <f>SP64!L6</f>
        <v>0</v>
      </c>
      <c r="L4" s="243">
        <f>SP64!AS6</f>
        <v>0</v>
      </c>
      <c r="M4" s="243">
        <f>SP64!AT6</f>
        <v>0</v>
      </c>
    </row>
    <row r="5" spans="1:13" ht="12.75">
      <c r="A5" t="str">
        <f t="shared" si="0"/>
        <v>HR</v>
      </c>
      <c r="B5">
        <f>SP64!C7</f>
        <v>5</v>
      </c>
      <c r="C5" t="e">
        <f>IF((SP64!D7)="Freilos",0,VLOOKUP(SP64!D7,'BA-Teilnehmer'!$G$6:$J$69,4,FALSE))</f>
        <v>#N/A</v>
      </c>
      <c r="D5" t="e">
        <f>IF((SP64!E7)="Freilos",0,VLOOKUP(SP64!E7,'BA-Teilnehmer'!$G$6:$J$69,4,FALSE))</f>
        <v>#N/A</v>
      </c>
      <c r="E5">
        <f>SP64!F7</f>
        <v>0</v>
      </c>
      <c r="F5">
        <f>SP64!G7</f>
        <v>0</v>
      </c>
      <c r="G5">
        <f>SP64!H7</f>
        <v>0</v>
      </c>
      <c r="H5">
        <f>SP64!I7</f>
        <v>0</v>
      </c>
      <c r="I5">
        <f>SP64!J7</f>
        <v>0</v>
      </c>
      <c r="J5">
        <f>SP64!K7</f>
        <v>0</v>
      </c>
      <c r="K5">
        <f>SP64!L7</f>
        <v>0</v>
      </c>
      <c r="L5" s="243">
        <f>SP64!AS7</f>
        <v>0</v>
      </c>
      <c r="M5" s="243">
        <f>SP64!AT7</f>
        <v>0</v>
      </c>
    </row>
    <row r="6" spans="1:13" ht="12.75">
      <c r="A6" t="str">
        <f t="shared" si="0"/>
        <v>HR</v>
      </c>
      <c r="B6">
        <f>SP64!C8</f>
        <v>6</v>
      </c>
      <c r="C6" t="e">
        <f>IF((SP64!D8)="Freilos",0,VLOOKUP(SP64!D8,'BA-Teilnehmer'!$G$6:$J$69,4,FALSE))</f>
        <v>#N/A</v>
      </c>
      <c r="D6" t="e">
        <f>IF((SP64!E8)="Freilos",0,VLOOKUP(SP64!E8,'BA-Teilnehmer'!$G$6:$J$69,4,FALSE))</f>
        <v>#N/A</v>
      </c>
      <c r="E6">
        <f>SP64!F8</f>
        <v>0</v>
      </c>
      <c r="F6">
        <f>SP64!G8</f>
        <v>0</v>
      </c>
      <c r="G6">
        <f>SP64!H8</f>
        <v>0</v>
      </c>
      <c r="H6">
        <f>SP64!I8</f>
        <v>0</v>
      </c>
      <c r="I6">
        <f>SP64!J8</f>
        <v>0</v>
      </c>
      <c r="J6">
        <f>SP64!K8</f>
        <v>0</v>
      </c>
      <c r="K6">
        <f>SP64!L8</f>
        <v>0</v>
      </c>
      <c r="L6" s="243">
        <f>SP64!AS8</f>
        <v>0</v>
      </c>
      <c r="M6" s="243">
        <f>SP64!AT8</f>
        <v>0</v>
      </c>
    </row>
    <row r="7" spans="1:13" ht="12.75">
      <c r="A7" t="str">
        <f t="shared" si="0"/>
        <v>HR</v>
      </c>
      <c r="B7">
        <f>SP64!C9</f>
        <v>7</v>
      </c>
      <c r="C7" t="e">
        <f>IF((SP64!D9)="Freilos",0,VLOOKUP(SP64!D9,'BA-Teilnehmer'!$G$6:$J$69,4,FALSE))</f>
        <v>#N/A</v>
      </c>
      <c r="D7" t="e">
        <f>IF((SP64!E9)="Freilos",0,VLOOKUP(SP64!E9,'BA-Teilnehmer'!$G$6:$J$69,4,FALSE))</f>
        <v>#N/A</v>
      </c>
      <c r="E7">
        <f>SP64!F9</f>
        <v>0</v>
      </c>
      <c r="F7">
        <f>SP64!G9</f>
        <v>0</v>
      </c>
      <c r="G7">
        <f>SP64!H9</f>
        <v>0</v>
      </c>
      <c r="H7">
        <f>SP64!I9</f>
        <v>0</v>
      </c>
      <c r="I7">
        <f>SP64!J9</f>
        <v>0</v>
      </c>
      <c r="J7">
        <f>SP64!K9</f>
        <v>0</v>
      </c>
      <c r="K7">
        <f>SP64!L9</f>
        <v>0</v>
      </c>
      <c r="L7" s="243">
        <f>SP64!AS9</f>
        <v>0</v>
      </c>
      <c r="M7" s="243">
        <f>SP64!AT9</f>
        <v>0</v>
      </c>
    </row>
    <row r="8" spans="1:13" ht="12.75">
      <c r="A8" t="str">
        <f t="shared" si="0"/>
        <v>HR</v>
      </c>
      <c r="B8">
        <f>SP64!C10</f>
        <v>8</v>
      </c>
      <c r="C8" t="e">
        <f>IF((SP64!D10)="Freilos",0,VLOOKUP(SP64!D10,'BA-Teilnehmer'!$G$6:$J$69,4,FALSE))</f>
        <v>#N/A</v>
      </c>
      <c r="D8" t="e">
        <f>IF((SP64!E10)="Freilos",0,VLOOKUP(SP64!E10,'BA-Teilnehmer'!$G$6:$J$69,4,FALSE))</f>
        <v>#N/A</v>
      </c>
      <c r="E8">
        <f>SP64!F10</f>
        <v>0</v>
      </c>
      <c r="F8">
        <f>SP64!G10</f>
        <v>0</v>
      </c>
      <c r="G8">
        <f>SP64!H10</f>
        <v>0</v>
      </c>
      <c r="H8">
        <f>SP64!I10</f>
        <v>0</v>
      </c>
      <c r="I8">
        <f>SP64!J10</f>
        <v>0</v>
      </c>
      <c r="J8">
        <f>SP64!K10</f>
        <v>0</v>
      </c>
      <c r="K8">
        <f>SP64!L10</f>
        <v>0</v>
      </c>
      <c r="L8" s="243">
        <f>SP64!AS10</f>
        <v>0</v>
      </c>
      <c r="M8" s="243">
        <f>SP64!AT10</f>
        <v>0</v>
      </c>
    </row>
    <row r="9" spans="1:13" ht="12.75">
      <c r="A9" t="str">
        <f t="shared" si="0"/>
        <v>HR</v>
      </c>
      <c r="B9">
        <f>SP64!C11</f>
        <v>9</v>
      </c>
      <c r="C9" t="e">
        <f>IF((SP64!D11)="Freilos",0,VLOOKUP(SP64!D11,'BA-Teilnehmer'!$G$6:$J$69,4,FALSE))</f>
        <v>#N/A</v>
      </c>
      <c r="D9" t="e">
        <f>IF((SP64!E11)="Freilos",0,VLOOKUP(SP64!E11,'BA-Teilnehmer'!$G$6:$J$69,4,FALSE))</f>
        <v>#N/A</v>
      </c>
      <c r="E9">
        <f>SP64!F11</f>
        <v>0</v>
      </c>
      <c r="F9">
        <f>SP64!G11</f>
        <v>0</v>
      </c>
      <c r="G9">
        <f>SP64!H11</f>
        <v>0</v>
      </c>
      <c r="H9">
        <f>SP64!I11</f>
        <v>0</v>
      </c>
      <c r="I9">
        <f>SP64!J11</f>
        <v>0</v>
      </c>
      <c r="J9">
        <f>SP64!K11</f>
        <v>0</v>
      </c>
      <c r="K9">
        <f>SP64!L11</f>
        <v>0</v>
      </c>
      <c r="L9" s="243">
        <f>SP64!AS11</f>
        <v>0</v>
      </c>
      <c r="M9" s="243">
        <f>SP64!AT11</f>
        <v>0</v>
      </c>
    </row>
    <row r="10" spans="1:13" ht="12.75">
      <c r="A10" t="str">
        <f t="shared" si="0"/>
        <v>HR</v>
      </c>
      <c r="B10">
        <f>SP64!C12</f>
        <v>10</v>
      </c>
      <c r="C10" t="e">
        <f>IF((SP64!D12)="Freilos",0,VLOOKUP(SP64!D12,'BA-Teilnehmer'!$G$6:$J$69,4,FALSE))</f>
        <v>#N/A</v>
      </c>
      <c r="D10" t="e">
        <f>IF((SP64!E12)="Freilos",0,VLOOKUP(SP64!E12,'BA-Teilnehmer'!$G$6:$J$69,4,FALSE))</f>
        <v>#N/A</v>
      </c>
      <c r="E10">
        <f>SP64!F12</f>
        <v>0</v>
      </c>
      <c r="F10">
        <f>SP64!G12</f>
        <v>0</v>
      </c>
      <c r="G10">
        <f>SP64!H12</f>
        <v>0</v>
      </c>
      <c r="H10">
        <f>SP64!I12</f>
        <v>0</v>
      </c>
      <c r="I10">
        <f>SP64!J12</f>
        <v>0</v>
      </c>
      <c r="J10">
        <f>SP64!K12</f>
        <v>0</v>
      </c>
      <c r="K10">
        <f>SP64!L12</f>
        <v>0</v>
      </c>
      <c r="L10" s="243">
        <f>SP64!AS12</f>
        <v>0</v>
      </c>
      <c r="M10" s="243">
        <f>SP64!AT12</f>
        <v>0</v>
      </c>
    </row>
    <row r="11" spans="1:13" ht="12.75">
      <c r="A11" t="str">
        <f t="shared" si="0"/>
        <v>HR</v>
      </c>
      <c r="B11">
        <f>SP64!C13</f>
        <v>11</v>
      </c>
      <c r="C11" t="e">
        <f>IF((SP64!D13)="Freilos",0,VLOOKUP(SP64!D13,'BA-Teilnehmer'!$G$6:$J$69,4,FALSE))</f>
        <v>#N/A</v>
      </c>
      <c r="D11" t="e">
        <f>IF((SP64!E13)="Freilos",0,VLOOKUP(SP64!E13,'BA-Teilnehmer'!$G$6:$J$69,4,FALSE))</f>
        <v>#N/A</v>
      </c>
      <c r="E11">
        <f>SP64!F13</f>
        <v>0</v>
      </c>
      <c r="F11">
        <f>SP64!G13</f>
        <v>0</v>
      </c>
      <c r="G11">
        <f>SP64!H13</f>
        <v>0</v>
      </c>
      <c r="H11">
        <f>SP64!I13</f>
        <v>0</v>
      </c>
      <c r="I11">
        <f>SP64!J13</f>
        <v>0</v>
      </c>
      <c r="J11">
        <f>SP64!K13</f>
        <v>0</v>
      </c>
      <c r="K11">
        <f>SP64!L13</f>
        <v>0</v>
      </c>
      <c r="L11" s="243">
        <f>SP64!AS13</f>
        <v>0</v>
      </c>
      <c r="M11" s="243">
        <f>SP64!AT13</f>
        <v>0</v>
      </c>
    </row>
    <row r="12" spans="1:13" ht="12.75">
      <c r="A12" t="str">
        <f t="shared" si="0"/>
        <v>HR</v>
      </c>
      <c r="B12">
        <f>SP64!C14</f>
        <v>12</v>
      </c>
      <c r="C12" t="e">
        <f>IF((SP64!D14)="Freilos",0,VLOOKUP(SP64!D14,'BA-Teilnehmer'!$G$6:$J$69,4,FALSE))</f>
        <v>#N/A</v>
      </c>
      <c r="D12" t="e">
        <f>IF((SP64!E14)="Freilos",0,VLOOKUP(SP64!E14,'BA-Teilnehmer'!$G$6:$J$69,4,FALSE))</f>
        <v>#N/A</v>
      </c>
      <c r="E12">
        <f>SP64!F14</f>
        <v>0</v>
      </c>
      <c r="F12">
        <f>SP64!G14</f>
        <v>0</v>
      </c>
      <c r="G12">
        <f>SP64!H14</f>
        <v>0</v>
      </c>
      <c r="H12">
        <f>SP64!I14</f>
        <v>0</v>
      </c>
      <c r="I12">
        <f>SP64!J14</f>
        <v>0</v>
      </c>
      <c r="J12">
        <f>SP64!K14</f>
        <v>0</v>
      </c>
      <c r="K12">
        <f>SP64!L14</f>
        <v>0</v>
      </c>
      <c r="L12" s="243">
        <f>SP64!AS14</f>
        <v>0</v>
      </c>
      <c r="M12" s="243">
        <f>SP64!AT14</f>
        <v>0</v>
      </c>
    </row>
    <row r="13" spans="1:13" ht="12.75">
      <c r="A13" t="str">
        <f t="shared" si="0"/>
        <v>HR</v>
      </c>
      <c r="B13">
        <f>SP64!C15</f>
        <v>13</v>
      </c>
      <c r="C13" t="e">
        <f>IF((SP64!D15)="Freilos",0,VLOOKUP(SP64!D15,'BA-Teilnehmer'!$G$6:$J$69,4,FALSE))</f>
        <v>#N/A</v>
      </c>
      <c r="D13" t="e">
        <f>IF((SP64!E15)="Freilos",0,VLOOKUP(SP64!E15,'BA-Teilnehmer'!$G$6:$J$69,4,FALSE))</f>
        <v>#N/A</v>
      </c>
      <c r="E13">
        <f>SP64!F15</f>
        <v>0</v>
      </c>
      <c r="F13">
        <f>SP64!G15</f>
        <v>0</v>
      </c>
      <c r="G13">
        <f>SP64!H15</f>
        <v>0</v>
      </c>
      <c r="H13">
        <f>SP64!I15</f>
        <v>0</v>
      </c>
      <c r="I13">
        <f>SP64!J15</f>
        <v>0</v>
      </c>
      <c r="J13">
        <f>SP64!K15</f>
        <v>0</v>
      </c>
      <c r="K13">
        <f>SP64!L15</f>
        <v>0</v>
      </c>
      <c r="L13" s="243">
        <f>SP64!AS15</f>
        <v>0</v>
      </c>
      <c r="M13" s="243">
        <f>SP64!AT15</f>
        <v>0</v>
      </c>
    </row>
    <row r="14" spans="1:13" ht="12.75">
      <c r="A14" t="str">
        <f t="shared" si="0"/>
        <v>HR</v>
      </c>
      <c r="B14">
        <f>SP64!C16</f>
        <v>14</v>
      </c>
      <c r="C14" t="e">
        <f>IF((SP64!D16)="Freilos",0,VLOOKUP(SP64!D16,'BA-Teilnehmer'!$G$6:$J$69,4,FALSE))</f>
        <v>#N/A</v>
      </c>
      <c r="D14" t="e">
        <f>IF((SP64!E16)="Freilos",0,VLOOKUP(SP64!E16,'BA-Teilnehmer'!$G$6:$J$69,4,FALSE))</f>
        <v>#N/A</v>
      </c>
      <c r="E14">
        <f>SP64!F16</f>
        <v>0</v>
      </c>
      <c r="F14">
        <f>SP64!G16</f>
        <v>0</v>
      </c>
      <c r="G14">
        <f>SP64!H16</f>
        <v>0</v>
      </c>
      <c r="H14">
        <f>SP64!I16</f>
        <v>0</v>
      </c>
      <c r="I14">
        <f>SP64!J16</f>
        <v>0</v>
      </c>
      <c r="J14">
        <f>SP64!K16</f>
        <v>0</v>
      </c>
      <c r="K14">
        <f>SP64!L16</f>
        <v>0</v>
      </c>
      <c r="L14" s="243">
        <f>SP64!AS16</f>
        <v>0</v>
      </c>
      <c r="M14" s="243">
        <f>SP64!AT16</f>
        <v>0</v>
      </c>
    </row>
    <row r="15" spans="1:13" ht="12.75">
      <c r="A15" t="str">
        <f t="shared" si="0"/>
        <v>HR</v>
      </c>
      <c r="B15">
        <f>SP64!C17</f>
        <v>15</v>
      </c>
      <c r="C15" t="e">
        <f>IF((SP64!D17)="Freilos",0,VLOOKUP(SP64!D17,'BA-Teilnehmer'!$G$6:$J$69,4,FALSE))</f>
        <v>#N/A</v>
      </c>
      <c r="D15" t="e">
        <f>IF((SP64!E17)="Freilos",0,VLOOKUP(SP64!E17,'BA-Teilnehmer'!$G$6:$J$69,4,FALSE))</f>
        <v>#N/A</v>
      </c>
      <c r="E15">
        <f>SP64!F17</f>
        <v>0</v>
      </c>
      <c r="F15">
        <f>SP64!G17</f>
        <v>0</v>
      </c>
      <c r="G15">
        <f>SP64!H17</f>
        <v>0</v>
      </c>
      <c r="H15">
        <f>SP64!I17</f>
        <v>0</v>
      </c>
      <c r="I15">
        <f>SP64!J17</f>
        <v>0</v>
      </c>
      <c r="J15">
        <f>SP64!K17</f>
        <v>0</v>
      </c>
      <c r="K15">
        <f>SP64!L17</f>
        <v>0</v>
      </c>
      <c r="L15" s="243">
        <f>SP64!AS17</f>
        <v>0</v>
      </c>
      <c r="M15" s="243">
        <f>SP64!AT17</f>
        <v>0</v>
      </c>
    </row>
    <row r="16" spans="1:13" ht="12.75">
      <c r="A16" t="str">
        <f t="shared" si="0"/>
        <v>HR</v>
      </c>
      <c r="B16">
        <f>SP64!C18</f>
        <v>16</v>
      </c>
      <c r="C16" t="e">
        <f>IF((SP64!D18)="Freilos",0,VLOOKUP(SP64!D18,'BA-Teilnehmer'!$G$6:$J$69,4,FALSE))</f>
        <v>#N/A</v>
      </c>
      <c r="D16" t="e">
        <f>IF((SP64!E18)="Freilos",0,VLOOKUP(SP64!E18,'BA-Teilnehmer'!$G$6:$J$69,4,FALSE))</f>
        <v>#N/A</v>
      </c>
      <c r="E16">
        <f>SP64!F18</f>
        <v>0</v>
      </c>
      <c r="F16">
        <f>SP64!G18</f>
        <v>0</v>
      </c>
      <c r="G16">
        <f>SP64!H18</f>
        <v>0</v>
      </c>
      <c r="H16">
        <f>SP64!I18</f>
        <v>0</v>
      </c>
      <c r="I16">
        <f>SP64!J18</f>
        <v>0</v>
      </c>
      <c r="J16">
        <f>SP64!K18</f>
        <v>0</v>
      </c>
      <c r="K16">
        <f>SP64!L18</f>
        <v>0</v>
      </c>
      <c r="L16" s="243">
        <f>SP64!AS18</f>
        <v>0</v>
      </c>
      <c r="M16" s="243">
        <f>SP64!AT18</f>
        <v>0</v>
      </c>
    </row>
    <row r="17" spans="1:13" ht="12.75">
      <c r="A17" t="str">
        <f t="shared" si="0"/>
        <v>HR</v>
      </c>
      <c r="B17">
        <f>SP64!C19</f>
        <v>17</v>
      </c>
      <c r="C17" t="e">
        <f>IF((SP64!D19)="Freilos",0,VLOOKUP(SP64!D19,'BA-Teilnehmer'!$G$6:$J$69,4,FALSE))</f>
        <v>#N/A</v>
      </c>
      <c r="D17" t="e">
        <f>IF((SP64!E19)="Freilos",0,VLOOKUP(SP64!E19,'BA-Teilnehmer'!$G$6:$J$69,4,FALSE))</f>
        <v>#N/A</v>
      </c>
      <c r="E17">
        <f>SP64!F19</f>
        <v>0</v>
      </c>
      <c r="F17">
        <f>SP64!G19</f>
        <v>0</v>
      </c>
      <c r="G17">
        <f>SP64!H19</f>
        <v>0</v>
      </c>
      <c r="H17">
        <f>SP64!I19</f>
        <v>0</v>
      </c>
      <c r="I17">
        <f>SP64!J19</f>
        <v>0</v>
      </c>
      <c r="J17">
        <f>SP64!K19</f>
        <v>0</v>
      </c>
      <c r="K17">
        <f>SP64!L19</f>
        <v>0</v>
      </c>
      <c r="L17" s="243">
        <f>SP64!AS19</f>
        <v>0</v>
      </c>
      <c r="M17" s="243">
        <f>SP64!AT19</f>
        <v>0</v>
      </c>
    </row>
    <row r="18" spans="1:13" ht="12.75">
      <c r="A18" t="str">
        <f t="shared" si="0"/>
        <v>HR</v>
      </c>
      <c r="B18">
        <f>SP64!C20</f>
        <v>18</v>
      </c>
      <c r="C18" t="e">
        <f>IF((SP64!D20)="Freilos",0,VLOOKUP(SP64!D20,'BA-Teilnehmer'!$G$6:$J$69,4,FALSE))</f>
        <v>#N/A</v>
      </c>
      <c r="D18" t="e">
        <f>IF((SP64!E20)="Freilos",0,VLOOKUP(SP64!E20,'BA-Teilnehmer'!$G$6:$J$69,4,FALSE))</f>
        <v>#N/A</v>
      </c>
      <c r="E18">
        <f>SP64!F20</f>
        <v>0</v>
      </c>
      <c r="F18">
        <f>SP64!G20</f>
        <v>0</v>
      </c>
      <c r="G18">
        <f>SP64!H20</f>
        <v>0</v>
      </c>
      <c r="H18">
        <f>SP64!I20</f>
        <v>0</v>
      </c>
      <c r="I18">
        <f>SP64!J20</f>
        <v>0</v>
      </c>
      <c r="J18">
        <f>SP64!K20</f>
        <v>0</v>
      </c>
      <c r="K18">
        <f>SP64!L20</f>
        <v>0</v>
      </c>
      <c r="L18" s="243">
        <f>SP64!AS20</f>
        <v>0</v>
      </c>
      <c r="M18" s="243">
        <f>SP64!AT20</f>
        <v>0</v>
      </c>
    </row>
    <row r="19" spans="1:13" ht="12.75">
      <c r="A19" t="str">
        <f t="shared" si="0"/>
        <v>HR</v>
      </c>
      <c r="B19">
        <f>SP64!C21</f>
        <v>19</v>
      </c>
      <c r="C19" t="e">
        <f>IF((SP64!D21)="Freilos",0,VLOOKUP(SP64!D21,'BA-Teilnehmer'!$G$6:$J$69,4,FALSE))</f>
        <v>#N/A</v>
      </c>
      <c r="D19" t="e">
        <f>IF((SP64!E21)="Freilos",0,VLOOKUP(SP64!E21,'BA-Teilnehmer'!$G$6:$J$69,4,FALSE))</f>
        <v>#N/A</v>
      </c>
      <c r="E19">
        <f>SP64!F21</f>
        <v>0</v>
      </c>
      <c r="F19">
        <f>SP64!G21</f>
        <v>0</v>
      </c>
      <c r="G19">
        <f>SP64!H21</f>
        <v>0</v>
      </c>
      <c r="H19">
        <f>SP64!I21</f>
        <v>0</v>
      </c>
      <c r="I19">
        <f>SP64!J21</f>
        <v>0</v>
      </c>
      <c r="J19">
        <f>SP64!K21</f>
        <v>0</v>
      </c>
      <c r="K19">
        <f>SP64!L21</f>
        <v>0</v>
      </c>
      <c r="L19" s="243">
        <f>SP64!AS21</f>
        <v>0</v>
      </c>
      <c r="M19" s="243">
        <f>SP64!AT21</f>
        <v>0</v>
      </c>
    </row>
    <row r="20" spans="1:13" ht="12.75">
      <c r="A20" t="str">
        <f t="shared" si="0"/>
        <v>HR</v>
      </c>
      <c r="B20">
        <f>SP64!C22</f>
        <v>20</v>
      </c>
      <c r="C20" t="e">
        <f>IF((SP64!D22)="Freilos",0,VLOOKUP(SP64!D22,'BA-Teilnehmer'!$G$6:$J$69,4,FALSE))</f>
        <v>#N/A</v>
      </c>
      <c r="D20" t="e">
        <f>IF((SP64!E22)="Freilos",0,VLOOKUP(SP64!E22,'BA-Teilnehmer'!$G$6:$J$69,4,FALSE))</f>
        <v>#N/A</v>
      </c>
      <c r="E20">
        <f>SP64!F22</f>
        <v>0</v>
      </c>
      <c r="F20">
        <f>SP64!G22</f>
        <v>0</v>
      </c>
      <c r="G20">
        <f>SP64!H22</f>
        <v>0</v>
      </c>
      <c r="H20">
        <f>SP64!I22</f>
        <v>0</v>
      </c>
      <c r="I20">
        <f>SP64!J22</f>
        <v>0</v>
      </c>
      <c r="J20">
        <f>SP64!K22</f>
        <v>0</v>
      </c>
      <c r="K20">
        <f>SP64!L22</f>
        <v>0</v>
      </c>
      <c r="L20" s="243">
        <f>SP64!AS22</f>
        <v>0</v>
      </c>
      <c r="M20" s="243">
        <f>SP64!AT22</f>
        <v>0</v>
      </c>
    </row>
    <row r="21" spans="1:13" ht="12.75">
      <c r="A21" t="str">
        <f t="shared" si="0"/>
        <v>HR</v>
      </c>
      <c r="B21">
        <f>SP64!C23</f>
        <v>21</v>
      </c>
      <c r="C21" t="e">
        <f>IF((SP64!D23)="Freilos",0,VLOOKUP(SP64!D23,'BA-Teilnehmer'!$G$6:$J$69,4,FALSE))</f>
        <v>#N/A</v>
      </c>
      <c r="D21" t="e">
        <f>IF((SP64!E23)="Freilos",0,VLOOKUP(SP64!E23,'BA-Teilnehmer'!$G$6:$J$69,4,FALSE))</f>
        <v>#N/A</v>
      </c>
      <c r="E21">
        <f>SP64!F23</f>
        <v>0</v>
      </c>
      <c r="F21">
        <f>SP64!G23</f>
        <v>0</v>
      </c>
      <c r="G21">
        <f>SP64!H23</f>
        <v>0</v>
      </c>
      <c r="H21">
        <f>SP64!I23</f>
        <v>0</v>
      </c>
      <c r="I21">
        <f>SP64!J23</f>
        <v>0</v>
      </c>
      <c r="J21">
        <f>SP64!K23</f>
        <v>0</v>
      </c>
      <c r="K21">
        <f>SP64!L23</f>
        <v>0</v>
      </c>
      <c r="L21" s="243">
        <f>SP64!AS23</f>
        <v>0</v>
      </c>
      <c r="M21" s="243">
        <f>SP64!AT23</f>
        <v>0</v>
      </c>
    </row>
    <row r="22" spans="1:13" ht="12.75">
      <c r="A22" t="str">
        <f t="shared" si="0"/>
        <v>HR</v>
      </c>
      <c r="B22">
        <f>SP64!C24</f>
        <v>22</v>
      </c>
      <c r="C22" t="e">
        <f>IF((SP64!D24)="Freilos",0,VLOOKUP(SP64!D24,'BA-Teilnehmer'!$G$6:$J$69,4,FALSE))</f>
        <v>#N/A</v>
      </c>
      <c r="D22" t="e">
        <f>IF((SP64!E24)="Freilos",0,VLOOKUP(SP64!E24,'BA-Teilnehmer'!$G$6:$J$69,4,FALSE))</f>
        <v>#N/A</v>
      </c>
      <c r="E22">
        <f>SP64!F24</f>
        <v>0</v>
      </c>
      <c r="F22">
        <f>SP64!G24</f>
        <v>0</v>
      </c>
      <c r="G22">
        <f>SP64!H24</f>
        <v>0</v>
      </c>
      <c r="H22">
        <f>SP64!I24</f>
        <v>0</v>
      </c>
      <c r="I22">
        <f>SP64!J24</f>
        <v>0</v>
      </c>
      <c r="J22">
        <f>SP64!K24</f>
        <v>0</v>
      </c>
      <c r="K22">
        <f>SP64!L24</f>
        <v>0</v>
      </c>
      <c r="L22" s="243">
        <f>SP64!AS24</f>
        <v>0</v>
      </c>
      <c r="M22" s="243">
        <f>SP64!AT24</f>
        <v>0</v>
      </c>
    </row>
    <row r="23" spans="1:13" ht="12.75">
      <c r="A23" t="str">
        <f t="shared" si="0"/>
        <v>HR</v>
      </c>
      <c r="B23">
        <f>SP64!C25</f>
        <v>23</v>
      </c>
      <c r="C23" t="e">
        <f>IF((SP64!D25)="Freilos",0,VLOOKUP(SP64!D25,'BA-Teilnehmer'!$G$6:$J$69,4,FALSE))</f>
        <v>#N/A</v>
      </c>
      <c r="D23" t="e">
        <f>IF((SP64!E25)="Freilos",0,VLOOKUP(SP64!E25,'BA-Teilnehmer'!$G$6:$J$69,4,FALSE))</f>
        <v>#N/A</v>
      </c>
      <c r="E23">
        <f>SP64!F25</f>
        <v>0</v>
      </c>
      <c r="F23">
        <f>SP64!G25</f>
        <v>0</v>
      </c>
      <c r="G23">
        <f>SP64!H25</f>
        <v>0</v>
      </c>
      <c r="H23">
        <f>SP64!I25</f>
        <v>0</v>
      </c>
      <c r="I23">
        <f>SP64!J25</f>
        <v>0</v>
      </c>
      <c r="J23">
        <f>SP64!K25</f>
        <v>0</v>
      </c>
      <c r="K23">
        <f>SP64!L25</f>
        <v>0</v>
      </c>
      <c r="L23" s="243">
        <f>SP64!AS25</f>
        <v>0</v>
      </c>
      <c r="M23" s="243">
        <f>SP64!AT25</f>
        <v>0</v>
      </c>
    </row>
    <row r="24" spans="1:13" ht="12.75">
      <c r="A24" t="str">
        <f t="shared" si="0"/>
        <v>HR</v>
      </c>
      <c r="B24">
        <f>SP64!C26</f>
        <v>24</v>
      </c>
      <c r="C24" t="e">
        <f>IF((SP64!D26)="Freilos",0,VLOOKUP(SP64!D26,'BA-Teilnehmer'!$G$6:$J$69,4,FALSE))</f>
        <v>#N/A</v>
      </c>
      <c r="D24" t="e">
        <f>IF((SP64!E26)="Freilos",0,VLOOKUP(SP64!E26,'BA-Teilnehmer'!$G$6:$J$69,4,FALSE))</f>
        <v>#N/A</v>
      </c>
      <c r="E24">
        <f>SP64!F26</f>
        <v>0</v>
      </c>
      <c r="F24">
        <f>SP64!G26</f>
        <v>0</v>
      </c>
      <c r="G24">
        <f>SP64!H26</f>
        <v>0</v>
      </c>
      <c r="H24">
        <f>SP64!I26</f>
        <v>0</v>
      </c>
      <c r="I24">
        <f>SP64!J26</f>
        <v>0</v>
      </c>
      <c r="J24">
        <f>SP64!K26</f>
        <v>0</v>
      </c>
      <c r="K24">
        <f>SP64!L26</f>
        <v>0</v>
      </c>
      <c r="L24" s="243">
        <f>SP64!AS26</f>
        <v>0</v>
      </c>
      <c r="M24" s="243">
        <f>SP64!AT26</f>
        <v>0</v>
      </c>
    </row>
    <row r="25" spans="1:13" ht="12.75">
      <c r="A25" t="str">
        <f t="shared" si="0"/>
        <v>HR</v>
      </c>
      <c r="B25">
        <f>SP64!C27</f>
        <v>25</v>
      </c>
      <c r="C25" t="e">
        <f>IF((SP64!D27)="Freilos",0,VLOOKUP(SP64!D27,'BA-Teilnehmer'!$G$6:$J$69,4,FALSE))</f>
        <v>#N/A</v>
      </c>
      <c r="D25" t="e">
        <f>IF((SP64!E27)="Freilos",0,VLOOKUP(SP64!E27,'BA-Teilnehmer'!$G$6:$J$69,4,FALSE))</f>
        <v>#N/A</v>
      </c>
      <c r="E25">
        <f>SP64!F27</f>
        <v>0</v>
      </c>
      <c r="F25">
        <f>SP64!G27</f>
        <v>0</v>
      </c>
      <c r="G25">
        <f>SP64!H27</f>
        <v>0</v>
      </c>
      <c r="H25">
        <f>SP64!I27</f>
        <v>0</v>
      </c>
      <c r="I25">
        <f>SP64!J27</f>
        <v>0</v>
      </c>
      <c r="J25">
        <f>SP64!K27</f>
        <v>0</v>
      </c>
      <c r="K25">
        <f>SP64!L27</f>
        <v>0</v>
      </c>
      <c r="L25" s="243">
        <f>SP64!AS27</f>
        <v>0</v>
      </c>
      <c r="M25" s="243">
        <f>SP64!AT27</f>
        <v>0</v>
      </c>
    </row>
    <row r="26" spans="1:13" ht="12.75">
      <c r="A26" t="str">
        <f t="shared" si="0"/>
        <v>HR</v>
      </c>
      <c r="B26">
        <f>SP64!C28</f>
        <v>26</v>
      </c>
      <c r="C26" t="e">
        <f>IF((SP64!D28)="Freilos",0,VLOOKUP(SP64!D28,'BA-Teilnehmer'!$G$6:$J$69,4,FALSE))</f>
        <v>#N/A</v>
      </c>
      <c r="D26" t="e">
        <f>IF((SP64!E28)="Freilos",0,VLOOKUP(SP64!E28,'BA-Teilnehmer'!$G$6:$J$69,4,FALSE))</f>
        <v>#N/A</v>
      </c>
      <c r="E26">
        <f>SP64!F28</f>
        <v>0</v>
      </c>
      <c r="F26">
        <f>SP64!G28</f>
        <v>0</v>
      </c>
      <c r="G26">
        <f>SP64!H28</f>
        <v>0</v>
      </c>
      <c r="H26">
        <f>SP64!I28</f>
        <v>0</v>
      </c>
      <c r="I26">
        <f>SP64!J28</f>
        <v>0</v>
      </c>
      <c r="J26">
        <f>SP64!K28</f>
        <v>0</v>
      </c>
      <c r="K26">
        <f>SP64!L28</f>
        <v>0</v>
      </c>
      <c r="L26" s="243">
        <f>SP64!AS28</f>
        <v>0</v>
      </c>
      <c r="M26" s="243">
        <f>SP64!AT28</f>
        <v>0</v>
      </c>
    </row>
    <row r="27" spans="1:13" ht="12.75">
      <c r="A27" t="str">
        <f t="shared" si="0"/>
        <v>HR</v>
      </c>
      <c r="B27">
        <f>SP64!C29</f>
        <v>27</v>
      </c>
      <c r="C27" t="e">
        <f>IF((SP64!D29)="Freilos",0,VLOOKUP(SP64!D29,'BA-Teilnehmer'!$G$6:$J$69,4,FALSE))</f>
        <v>#N/A</v>
      </c>
      <c r="D27" t="e">
        <f>IF((SP64!E29)="Freilos",0,VLOOKUP(SP64!E29,'BA-Teilnehmer'!$G$6:$J$69,4,FALSE))</f>
        <v>#N/A</v>
      </c>
      <c r="E27">
        <f>SP64!F29</f>
        <v>0</v>
      </c>
      <c r="F27">
        <f>SP64!G29</f>
        <v>0</v>
      </c>
      <c r="G27">
        <f>SP64!H29</f>
        <v>0</v>
      </c>
      <c r="H27">
        <f>SP64!I29</f>
        <v>0</v>
      </c>
      <c r="I27">
        <f>SP64!J29</f>
        <v>0</v>
      </c>
      <c r="J27">
        <f>SP64!K29</f>
        <v>0</v>
      </c>
      <c r="K27">
        <f>SP64!L29</f>
        <v>0</v>
      </c>
      <c r="L27" s="243">
        <f>SP64!AS29</f>
        <v>0</v>
      </c>
      <c r="M27" s="243">
        <f>SP64!AT29</f>
        <v>0</v>
      </c>
    </row>
    <row r="28" spans="1:13" ht="12.75">
      <c r="A28" t="str">
        <f t="shared" si="0"/>
        <v>HR</v>
      </c>
      <c r="B28">
        <f>SP64!C30</f>
        <v>28</v>
      </c>
      <c r="C28" t="e">
        <f>IF((SP64!D30)="Freilos",0,VLOOKUP(SP64!D30,'BA-Teilnehmer'!$G$6:$J$69,4,FALSE))</f>
        <v>#N/A</v>
      </c>
      <c r="D28" t="e">
        <f>IF((SP64!E30)="Freilos",0,VLOOKUP(SP64!E30,'BA-Teilnehmer'!$G$6:$J$69,4,FALSE))</f>
        <v>#N/A</v>
      </c>
      <c r="E28">
        <f>SP64!F30</f>
        <v>0</v>
      </c>
      <c r="F28">
        <f>SP64!G30</f>
        <v>0</v>
      </c>
      <c r="G28">
        <f>SP64!H30</f>
        <v>0</v>
      </c>
      <c r="H28">
        <f>SP64!I30</f>
        <v>0</v>
      </c>
      <c r="I28">
        <f>SP64!J30</f>
        <v>0</v>
      </c>
      <c r="J28">
        <f>SP64!K30</f>
        <v>0</v>
      </c>
      <c r="K28">
        <f>SP64!L30</f>
        <v>0</v>
      </c>
      <c r="L28" s="243">
        <f>SP64!AS30</f>
        <v>0</v>
      </c>
      <c r="M28" s="243">
        <f>SP64!AT30</f>
        <v>0</v>
      </c>
    </row>
    <row r="29" spans="1:13" ht="12.75">
      <c r="A29" t="str">
        <f t="shared" si="0"/>
        <v>HR</v>
      </c>
      <c r="B29">
        <f>SP64!C31</f>
        <v>29</v>
      </c>
      <c r="C29" t="e">
        <f>IF((SP64!D31)="Freilos",0,VLOOKUP(SP64!D31,'BA-Teilnehmer'!$G$6:$J$69,4,FALSE))</f>
        <v>#N/A</v>
      </c>
      <c r="D29" t="e">
        <f>IF((SP64!E31)="Freilos",0,VLOOKUP(SP64!E31,'BA-Teilnehmer'!$G$6:$J$69,4,FALSE))</f>
        <v>#N/A</v>
      </c>
      <c r="E29">
        <f>SP64!F31</f>
        <v>0</v>
      </c>
      <c r="F29">
        <f>SP64!G31</f>
        <v>0</v>
      </c>
      <c r="G29">
        <f>SP64!H31</f>
        <v>0</v>
      </c>
      <c r="H29">
        <f>SP64!I31</f>
        <v>0</v>
      </c>
      <c r="I29">
        <f>SP64!J31</f>
        <v>0</v>
      </c>
      <c r="J29">
        <f>SP64!K31</f>
        <v>0</v>
      </c>
      <c r="K29">
        <f>SP64!L31</f>
        <v>0</v>
      </c>
      <c r="L29" s="243">
        <f>SP64!AS31</f>
        <v>0</v>
      </c>
      <c r="M29" s="243">
        <f>SP64!AT31</f>
        <v>0</v>
      </c>
    </row>
    <row r="30" spans="1:13" ht="12.75">
      <c r="A30" t="str">
        <f t="shared" si="0"/>
        <v>HR</v>
      </c>
      <c r="B30">
        <f>SP64!C32</f>
        <v>30</v>
      </c>
      <c r="C30" t="e">
        <f>IF((SP64!D32)="Freilos",0,VLOOKUP(SP64!D32,'BA-Teilnehmer'!$G$6:$J$69,4,FALSE))</f>
        <v>#N/A</v>
      </c>
      <c r="D30" t="e">
        <f>IF((SP64!E32)="Freilos",0,VLOOKUP(SP64!E32,'BA-Teilnehmer'!$G$6:$J$69,4,FALSE))</f>
        <v>#N/A</v>
      </c>
      <c r="E30">
        <f>SP64!F32</f>
        <v>0</v>
      </c>
      <c r="F30">
        <f>SP64!G32</f>
        <v>0</v>
      </c>
      <c r="G30">
        <f>SP64!H32</f>
        <v>0</v>
      </c>
      <c r="H30">
        <f>SP64!I32</f>
        <v>0</v>
      </c>
      <c r="I30">
        <f>SP64!J32</f>
        <v>0</v>
      </c>
      <c r="J30">
        <f>SP64!K32</f>
        <v>0</v>
      </c>
      <c r="K30">
        <f>SP64!L32</f>
        <v>0</v>
      </c>
      <c r="L30" s="243">
        <f>SP64!AS32</f>
        <v>0</v>
      </c>
      <c r="M30" s="243">
        <f>SP64!AT32</f>
        <v>0</v>
      </c>
    </row>
    <row r="31" spans="1:13" ht="12.75">
      <c r="A31" t="str">
        <f t="shared" si="0"/>
        <v>HR</v>
      </c>
      <c r="B31">
        <f>SP64!C33</f>
        <v>31</v>
      </c>
      <c r="C31" t="e">
        <f>IF((SP64!D33)="Freilos",0,VLOOKUP(SP64!D33,'BA-Teilnehmer'!$G$6:$J$69,4,FALSE))</f>
        <v>#N/A</v>
      </c>
      <c r="D31" t="e">
        <f>IF((SP64!E33)="Freilos",0,VLOOKUP(SP64!E33,'BA-Teilnehmer'!$G$6:$J$69,4,FALSE))</f>
        <v>#N/A</v>
      </c>
      <c r="E31">
        <f>SP64!F33</f>
        <v>0</v>
      </c>
      <c r="F31">
        <f>SP64!G33</f>
        <v>0</v>
      </c>
      <c r="G31">
        <f>SP64!H33</f>
        <v>0</v>
      </c>
      <c r="H31">
        <f>SP64!I33</f>
        <v>0</v>
      </c>
      <c r="I31">
        <f>SP64!J33</f>
        <v>0</v>
      </c>
      <c r="J31">
        <f>SP64!K33</f>
        <v>0</v>
      </c>
      <c r="K31">
        <f>SP64!L33</f>
        <v>0</v>
      </c>
      <c r="L31" s="243">
        <f>SP64!AS33</f>
        <v>0</v>
      </c>
      <c r="M31" s="243">
        <f>SP64!AT33</f>
        <v>0</v>
      </c>
    </row>
    <row r="32" spans="1:13" ht="12.75">
      <c r="A32" t="str">
        <f t="shared" si="0"/>
        <v>HR</v>
      </c>
      <c r="B32">
        <f>SP64!C34</f>
        <v>32</v>
      </c>
      <c r="C32" t="e">
        <f>IF((SP64!D34)="Freilos",0,VLOOKUP(SP64!D34,'BA-Teilnehmer'!$G$6:$J$69,4,FALSE))</f>
        <v>#N/A</v>
      </c>
      <c r="D32" t="e">
        <f>IF((SP64!E34)="Freilos",0,VLOOKUP(SP64!E34,'BA-Teilnehmer'!$G$6:$J$69,4,FALSE))</f>
        <v>#N/A</v>
      </c>
      <c r="E32">
        <f>SP64!F34</f>
        <v>0</v>
      </c>
      <c r="F32">
        <f>SP64!G34</f>
        <v>0</v>
      </c>
      <c r="G32">
        <f>SP64!H34</f>
        <v>0</v>
      </c>
      <c r="H32">
        <f>SP64!I34</f>
        <v>0</v>
      </c>
      <c r="I32">
        <f>SP64!J34</f>
        <v>0</v>
      </c>
      <c r="J32">
        <f>SP64!K34</f>
        <v>0</v>
      </c>
      <c r="K32">
        <f>SP64!L34</f>
        <v>0</v>
      </c>
      <c r="L32" s="243">
        <f>SP64!AS34</f>
        <v>0</v>
      </c>
      <c r="M32" s="243">
        <f>SP64!AT34</f>
        <v>0</v>
      </c>
    </row>
    <row r="33" spans="1:13" ht="12.75">
      <c r="A33" t="str">
        <f>SP64!B35</f>
        <v>VR1</v>
      </c>
      <c r="B33">
        <f>SP64!C35</f>
        <v>33</v>
      </c>
      <c r="C33" t="e">
        <f>IF((SP64!D35)="Freilos",0,VLOOKUP(SP64!D35,'BA-Teilnehmer'!$G$6:$J$69,4,FALSE))</f>
        <v>#N/A</v>
      </c>
      <c r="D33" t="e">
        <f>IF((SP64!E35)="Freilos",0,VLOOKUP(SP64!E35,'BA-Teilnehmer'!$G$6:$J$69,4,FALSE))</f>
        <v>#N/A</v>
      </c>
      <c r="E33">
        <f>SP64!F35</f>
        <v>0</v>
      </c>
      <c r="F33">
        <f>SP64!G35</f>
        <v>0</v>
      </c>
      <c r="G33">
        <f>SP64!H35</f>
        <v>0</v>
      </c>
      <c r="H33">
        <f>SP64!I35</f>
        <v>0</v>
      </c>
      <c r="I33">
        <f>SP64!J35</f>
        <v>0</v>
      </c>
      <c r="J33">
        <f>SP64!K35</f>
        <v>0</v>
      </c>
      <c r="K33">
        <f>SP64!L35</f>
        <v>0</v>
      </c>
      <c r="L33" s="243">
        <f>SP64!AS35</f>
        <v>0</v>
      </c>
      <c r="M33" s="243">
        <f>SP64!AT35</f>
        <v>0</v>
      </c>
    </row>
    <row r="34" spans="1:13" ht="12.75">
      <c r="A34" t="str">
        <f>A33</f>
        <v>VR1</v>
      </c>
      <c r="B34">
        <f>SP64!C36</f>
        <v>34</v>
      </c>
      <c r="C34" t="e">
        <f>IF((SP64!D36)="Freilos",0,VLOOKUP(SP64!D36,'BA-Teilnehmer'!$G$6:$J$69,4,FALSE))</f>
        <v>#N/A</v>
      </c>
      <c r="D34" t="e">
        <f>IF((SP64!E36)="Freilos",0,VLOOKUP(SP64!E36,'BA-Teilnehmer'!$G$6:$J$69,4,FALSE))</f>
        <v>#N/A</v>
      </c>
      <c r="E34">
        <f>SP64!F36</f>
        <v>0</v>
      </c>
      <c r="F34">
        <f>SP64!G36</f>
        <v>0</v>
      </c>
      <c r="G34">
        <f>SP64!H36</f>
        <v>0</v>
      </c>
      <c r="H34">
        <f>SP64!I36</f>
        <v>0</v>
      </c>
      <c r="I34">
        <f>SP64!J36</f>
        <v>0</v>
      </c>
      <c r="J34">
        <f>SP64!K36</f>
        <v>0</v>
      </c>
      <c r="K34">
        <f>SP64!L36</f>
        <v>0</v>
      </c>
      <c r="L34" s="243">
        <f>SP64!AS36</f>
        <v>0</v>
      </c>
      <c r="M34" s="243">
        <f>SP64!AT36</f>
        <v>0</v>
      </c>
    </row>
    <row r="35" spans="1:13" ht="12.75">
      <c r="A35" t="str">
        <f aca="true" t="shared" si="1" ref="A35:A48">A34</f>
        <v>VR1</v>
      </c>
      <c r="B35">
        <f>SP64!C37</f>
        <v>35</v>
      </c>
      <c r="C35" t="e">
        <f>IF((SP64!D37)="Freilos",0,VLOOKUP(SP64!D37,'BA-Teilnehmer'!$G$6:$J$69,4,FALSE))</f>
        <v>#N/A</v>
      </c>
      <c r="D35" t="e">
        <f>IF((SP64!E37)="Freilos",0,VLOOKUP(SP64!E37,'BA-Teilnehmer'!$G$6:$J$69,4,FALSE))</f>
        <v>#N/A</v>
      </c>
      <c r="E35">
        <f>SP64!F37</f>
        <v>0</v>
      </c>
      <c r="F35">
        <f>SP64!G37</f>
        <v>0</v>
      </c>
      <c r="G35">
        <f>SP64!H37</f>
        <v>0</v>
      </c>
      <c r="H35">
        <f>SP64!I37</f>
        <v>0</v>
      </c>
      <c r="I35">
        <f>SP64!J37</f>
        <v>0</v>
      </c>
      <c r="J35">
        <f>SP64!K37</f>
        <v>0</v>
      </c>
      <c r="K35">
        <f>SP64!L37</f>
        <v>0</v>
      </c>
      <c r="L35" s="243">
        <f>SP64!AS37</f>
        <v>0</v>
      </c>
      <c r="M35" s="243">
        <f>SP64!AT37</f>
        <v>0</v>
      </c>
    </row>
    <row r="36" spans="1:13" ht="12.75">
      <c r="A36" t="str">
        <f t="shared" si="1"/>
        <v>VR1</v>
      </c>
      <c r="B36">
        <f>SP64!C38</f>
        <v>36</v>
      </c>
      <c r="C36" t="e">
        <f>IF((SP64!D38)="Freilos",0,VLOOKUP(SP64!D38,'BA-Teilnehmer'!$G$6:$J$69,4,FALSE))</f>
        <v>#N/A</v>
      </c>
      <c r="D36" t="e">
        <f>IF((SP64!E38)="Freilos",0,VLOOKUP(SP64!E38,'BA-Teilnehmer'!$G$6:$J$69,4,FALSE))</f>
        <v>#N/A</v>
      </c>
      <c r="E36">
        <f>SP64!F38</f>
        <v>0</v>
      </c>
      <c r="F36">
        <f>SP64!G38</f>
        <v>0</v>
      </c>
      <c r="G36">
        <f>SP64!H38</f>
        <v>0</v>
      </c>
      <c r="H36">
        <f>SP64!I38</f>
        <v>0</v>
      </c>
      <c r="I36">
        <f>SP64!J38</f>
        <v>0</v>
      </c>
      <c r="J36">
        <f>SP64!K38</f>
        <v>0</v>
      </c>
      <c r="K36">
        <f>SP64!L38</f>
        <v>0</v>
      </c>
      <c r="L36" s="243">
        <f>SP64!AS38</f>
        <v>0</v>
      </c>
      <c r="M36" s="243">
        <f>SP64!AT38</f>
        <v>0</v>
      </c>
    </row>
    <row r="37" spans="1:13" ht="12.75">
      <c r="A37" t="str">
        <f t="shared" si="1"/>
        <v>VR1</v>
      </c>
      <c r="B37">
        <f>SP64!C39</f>
        <v>37</v>
      </c>
      <c r="C37" t="e">
        <f>IF((SP64!D39)="Freilos",0,VLOOKUP(SP64!D39,'BA-Teilnehmer'!$G$6:$J$69,4,FALSE))</f>
        <v>#N/A</v>
      </c>
      <c r="D37" t="e">
        <f>IF((SP64!E39)="Freilos",0,VLOOKUP(SP64!E39,'BA-Teilnehmer'!$G$6:$J$69,4,FALSE))</f>
        <v>#N/A</v>
      </c>
      <c r="E37">
        <f>SP64!F39</f>
        <v>0</v>
      </c>
      <c r="F37">
        <f>SP64!G39</f>
        <v>0</v>
      </c>
      <c r="G37">
        <f>SP64!H39</f>
        <v>0</v>
      </c>
      <c r="H37">
        <f>SP64!I39</f>
        <v>0</v>
      </c>
      <c r="I37">
        <f>SP64!J39</f>
        <v>0</v>
      </c>
      <c r="J37">
        <f>SP64!K39</f>
        <v>0</v>
      </c>
      <c r="K37">
        <f>SP64!L39</f>
        <v>0</v>
      </c>
      <c r="L37" s="243">
        <f>SP64!AS39</f>
        <v>0</v>
      </c>
      <c r="M37" s="243">
        <f>SP64!AT39</f>
        <v>0</v>
      </c>
    </row>
    <row r="38" spans="1:13" ht="12.75">
      <c r="A38" t="str">
        <f t="shared" si="1"/>
        <v>VR1</v>
      </c>
      <c r="B38">
        <f>SP64!C40</f>
        <v>38</v>
      </c>
      <c r="C38" t="e">
        <f>IF((SP64!D40)="Freilos",0,VLOOKUP(SP64!D40,'BA-Teilnehmer'!$G$6:$J$69,4,FALSE))</f>
        <v>#N/A</v>
      </c>
      <c r="D38" t="e">
        <f>IF((SP64!E40)="Freilos",0,VLOOKUP(SP64!E40,'BA-Teilnehmer'!$G$6:$J$69,4,FALSE))</f>
        <v>#N/A</v>
      </c>
      <c r="E38">
        <f>SP64!F40</f>
        <v>0</v>
      </c>
      <c r="F38">
        <f>SP64!G40</f>
        <v>0</v>
      </c>
      <c r="G38">
        <f>SP64!H40</f>
        <v>0</v>
      </c>
      <c r="H38">
        <f>SP64!I40</f>
        <v>0</v>
      </c>
      <c r="I38">
        <f>SP64!J40</f>
        <v>0</v>
      </c>
      <c r="J38">
        <f>SP64!K40</f>
        <v>0</v>
      </c>
      <c r="K38">
        <f>SP64!L40</f>
        <v>0</v>
      </c>
      <c r="L38" s="243">
        <f>SP64!AS40</f>
        <v>0</v>
      </c>
      <c r="M38" s="243">
        <f>SP64!AT40</f>
        <v>0</v>
      </c>
    </row>
    <row r="39" spans="1:13" ht="12.75">
      <c r="A39" t="str">
        <f t="shared" si="1"/>
        <v>VR1</v>
      </c>
      <c r="B39">
        <f>SP64!C41</f>
        <v>39</v>
      </c>
      <c r="C39" t="e">
        <f>IF((SP64!D41)="Freilos",0,VLOOKUP(SP64!D41,'BA-Teilnehmer'!$G$6:$J$69,4,FALSE))</f>
        <v>#N/A</v>
      </c>
      <c r="D39" t="e">
        <f>IF((SP64!E41)="Freilos",0,VLOOKUP(SP64!E41,'BA-Teilnehmer'!$G$6:$J$69,4,FALSE))</f>
        <v>#N/A</v>
      </c>
      <c r="E39">
        <f>SP64!F41</f>
        <v>0</v>
      </c>
      <c r="F39">
        <f>SP64!G41</f>
        <v>0</v>
      </c>
      <c r="G39">
        <f>SP64!H41</f>
        <v>0</v>
      </c>
      <c r="H39">
        <f>SP64!I41</f>
        <v>0</v>
      </c>
      <c r="I39">
        <f>SP64!J41</f>
        <v>0</v>
      </c>
      <c r="J39">
        <f>SP64!K41</f>
        <v>0</v>
      </c>
      <c r="K39">
        <f>SP64!L41</f>
        <v>0</v>
      </c>
      <c r="L39" s="243">
        <f>SP64!AS41</f>
        <v>0</v>
      </c>
      <c r="M39" s="243">
        <f>SP64!AT41</f>
        <v>0</v>
      </c>
    </row>
    <row r="40" spans="1:13" ht="12.75">
      <c r="A40" t="str">
        <f t="shared" si="1"/>
        <v>VR1</v>
      </c>
      <c r="B40">
        <f>SP64!C42</f>
        <v>40</v>
      </c>
      <c r="C40" t="e">
        <f>IF((SP64!D42)="Freilos",0,VLOOKUP(SP64!D42,'BA-Teilnehmer'!$G$6:$J$69,4,FALSE))</f>
        <v>#N/A</v>
      </c>
      <c r="D40" t="e">
        <f>IF((SP64!E42)="Freilos",0,VLOOKUP(SP64!E42,'BA-Teilnehmer'!$G$6:$J$69,4,FALSE))</f>
        <v>#N/A</v>
      </c>
      <c r="E40">
        <f>SP64!F42</f>
        <v>0</v>
      </c>
      <c r="F40">
        <f>SP64!G42</f>
        <v>0</v>
      </c>
      <c r="G40">
        <f>SP64!H42</f>
        <v>0</v>
      </c>
      <c r="H40">
        <f>SP64!I42</f>
        <v>0</v>
      </c>
      <c r="I40">
        <f>SP64!J42</f>
        <v>0</v>
      </c>
      <c r="J40">
        <f>SP64!K42</f>
        <v>0</v>
      </c>
      <c r="K40">
        <f>SP64!L42</f>
        <v>0</v>
      </c>
      <c r="L40" s="243">
        <f>SP64!AS42</f>
        <v>0</v>
      </c>
      <c r="M40" s="243">
        <f>SP64!AT42</f>
        <v>0</v>
      </c>
    </row>
    <row r="41" spans="1:13" ht="12.75">
      <c r="A41" t="str">
        <f t="shared" si="1"/>
        <v>VR1</v>
      </c>
      <c r="B41">
        <f>SP64!C43</f>
        <v>41</v>
      </c>
      <c r="C41" t="e">
        <f>IF((SP64!D43)="Freilos",0,VLOOKUP(SP64!D43,'BA-Teilnehmer'!$G$6:$J$69,4,FALSE))</f>
        <v>#N/A</v>
      </c>
      <c r="D41" t="e">
        <f>IF((SP64!E43)="Freilos",0,VLOOKUP(SP64!E43,'BA-Teilnehmer'!$G$6:$J$69,4,FALSE))</f>
        <v>#N/A</v>
      </c>
      <c r="E41">
        <f>SP64!F43</f>
        <v>0</v>
      </c>
      <c r="F41">
        <f>SP64!G43</f>
        <v>0</v>
      </c>
      <c r="G41">
        <f>SP64!H43</f>
        <v>0</v>
      </c>
      <c r="H41">
        <f>SP64!I43</f>
        <v>0</v>
      </c>
      <c r="I41">
        <f>SP64!J43</f>
        <v>0</v>
      </c>
      <c r="J41">
        <f>SP64!K43</f>
        <v>0</v>
      </c>
      <c r="K41">
        <f>SP64!L43</f>
        <v>0</v>
      </c>
      <c r="L41" s="243">
        <f>SP64!AS43</f>
        <v>0</v>
      </c>
      <c r="M41" s="243">
        <f>SP64!AT43</f>
        <v>0</v>
      </c>
    </row>
    <row r="42" spans="1:13" ht="12.75">
      <c r="A42" t="str">
        <f t="shared" si="1"/>
        <v>VR1</v>
      </c>
      <c r="B42">
        <f>SP64!C44</f>
        <v>42</v>
      </c>
      <c r="C42" t="e">
        <f>IF((SP64!D44)="Freilos",0,VLOOKUP(SP64!D44,'BA-Teilnehmer'!$G$6:$J$69,4,FALSE))</f>
        <v>#N/A</v>
      </c>
      <c r="D42" t="e">
        <f>IF((SP64!E44)="Freilos",0,VLOOKUP(SP64!E44,'BA-Teilnehmer'!$G$6:$J$69,4,FALSE))</f>
        <v>#N/A</v>
      </c>
      <c r="E42">
        <f>SP64!F44</f>
        <v>0</v>
      </c>
      <c r="F42">
        <f>SP64!G44</f>
        <v>0</v>
      </c>
      <c r="G42">
        <f>SP64!H44</f>
        <v>0</v>
      </c>
      <c r="H42">
        <f>SP64!I44</f>
        <v>0</v>
      </c>
      <c r="I42">
        <f>SP64!J44</f>
        <v>0</v>
      </c>
      <c r="J42">
        <f>SP64!K44</f>
        <v>0</v>
      </c>
      <c r="K42">
        <f>SP64!L44</f>
        <v>0</v>
      </c>
      <c r="L42" s="243">
        <f>SP64!AS44</f>
        <v>0</v>
      </c>
      <c r="M42" s="243">
        <f>SP64!AT44</f>
        <v>0</v>
      </c>
    </row>
    <row r="43" spans="1:13" ht="12.75">
      <c r="A43" t="str">
        <f t="shared" si="1"/>
        <v>VR1</v>
      </c>
      <c r="B43">
        <f>SP64!C45</f>
        <v>43</v>
      </c>
      <c r="C43" t="e">
        <f>IF((SP64!D45)="Freilos",0,VLOOKUP(SP64!D45,'BA-Teilnehmer'!$G$6:$J$69,4,FALSE))</f>
        <v>#N/A</v>
      </c>
      <c r="D43" t="e">
        <f>IF((SP64!E45)="Freilos",0,VLOOKUP(SP64!E45,'BA-Teilnehmer'!$G$6:$J$69,4,FALSE))</f>
        <v>#N/A</v>
      </c>
      <c r="E43">
        <f>SP64!F45</f>
        <v>0</v>
      </c>
      <c r="F43">
        <f>SP64!G45</f>
        <v>0</v>
      </c>
      <c r="G43">
        <f>SP64!H45</f>
        <v>0</v>
      </c>
      <c r="H43">
        <f>SP64!I45</f>
        <v>0</v>
      </c>
      <c r="I43">
        <f>SP64!J45</f>
        <v>0</v>
      </c>
      <c r="J43">
        <f>SP64!K45</f>
        <v>0</v>
      </c>
      <c r="K43">
        <f>SP64!L45</f>
        <v>0</v>
      </c>
      <c r="L43" s="243">
        <f>SP64!AS45</f>
        <v>0</v>
      </c>
      <c r="M43" s="243">
        <f>SP64!AT45</f>
        <v>0</v>
      </c>
    </row>
    <row r="44" spans="1:13" ht="12.75">
      <c r="A44" t="str">
        <f t="shared" si="1"/>
        <v>VR1</v>
      </c>
      <c r="B44">
        <f>SP64!C46</f>
        <v>44</v>
      </c>
      <c r="C44" t="e">
        <f>IF((SP64!D46)="Freilos",0,VLOOKUP(SP64!D46,'BA-Teilnehmer'!$G$6:$J$69,4,FALSE))</f>
        <v>#N/A</v>
      </c>
      <c r="D44" t="e">
        <f>IF((SP64!E46)="Freilos",0,VLOOKUP(SP64!E46,'BA-Teilnehmer'!$G$6:$J$69,4,FALSE))</f>
        <v>#N/A</v>
      </c>
      <c r="E44">
        <f>SP64!F46</f>
        <v>0</v>
      </c>
      <c r="F44">
        <f>SP64!G46</f>
        <v>0</v>
      </c>
      <c r="G44">
        <f>SP64!H46</f>
        <v>0</v>
      </c>
      <c r="H44">
        <f>SP64!I46</f>
        <v>0</v>
      </c>
      <c r="I44">
        <f>SP64!J46</f>
        <v>0</v>
      </c>
      <c r="J44">
        <f>SP64!K46</f>
        <v>0</v>
      </c>
      <c r="K44">
        <f>SP64!L46</f>
        <v>0</v>
      </c>
      <c r="L44" s="243">
        <f>SP64!AS46</f>
        <v>0</v>
      </c>
      <c r="M44" s="243">
        <f>SP64!AT46</f>
        <v>0</v>
      </c>
    </row>
    <row r="45" spans="1:13" ht="12.75">
      <c r="A45" t="str">
        <f t="shared" si="1"/>
        <v>VR1</v>
      </c>
      <c r="B45">
        <f>SP64!C47</f>
        <v>45</v>
      </c>
      <c r="C45" t="e">
        <f>IF((SP64!D47)="Freilos",0,VLOOKUP(SP64!D47,'BA-Teilnehmer'!$G$6:$J$69,4,FALSE))</f>
        <v>#N/A</v>
      </c>
      <c r="D45" t="e">
        <f>IF((SP64!E47)="Freilos",0,VLOOKUP(SP64!E47,'BA-Teilnehmer'!$G$6:$J$69,4,FALSE))</f>
        <v>#N/A</v>
      </c>
      <c r="E45">
        <f>SP64!F47</f>
        <v>0</v>
      </c>
      <c r="F45">
        <f>SP64!G47</f>
        <v>0</v>
      </c>
      <c r="G45">
        <f>SP64!H47</f>
        <v>0</v>
      </c>
      <c r="H45">
        <f>SP64!I47</f>
        <v>0</v>
      </c>
      <c r="I45">
        <f>SP64!J47</f>
        <v>0</v>
      </c>
      <c r="J45">
        <f>SP64!K47</f>
        <v>0</v>
      </c>
      <c r="K45">
        <f>SP64!L47</f>
        <v>0</v>
      </c>
      <c r="L45" s="243">
        <f>SP64!AS47</f>
        <v>0</v>
      </c>
      <c r="M45" s="243">
        <f>SP64!AT47</f>
        <v>0</v>
      </c>
    </row>
    <row r="46" spans="1:13" ht="12.75">
      <c r="A46" t="str">
        <f t="shared" si="1"/>
        <v>VR1</v>
      </c>
      <c r="B46">
        <f>SP64!C48</f>
        <v>46</v>
      </c>
      <c r="C46" t="e">
        <f>IF((SP64!D48)="Freilos",0,VLOOKUP(SP64!D48,'BA-Teilnehmer'!$G$6:$J$69,4,FALSE))</f>
        <v>#N/A</v>
      </c>
      <c r="D46" t="e">
        <f>IF((SP64!E48)="Freilos",0,VLOOKUP(SP64!E48,'BA-Teilnehmer'!$G$6:$J$69,4,FALSE))</f>
        <v>#N/A</v>
      </c>
      <c r="E46">
        <f>SP64!F48</f>
        <v>0</v>
      </c>
      <c r="F46">
        <f>SP64!G48</f>
        <v>0</v>
      </c>
      <c r="G46">
        <f>SP64!H48</f>
        <v>0</v>
      </c>
      <c r="H46">
        <f>SP64!I48</f>
        <v>0</v>
      </c>
      <c r="I46">
        <f>SP64!J48</f>
        <v>0</v>
      </c>
      <c r="J46">
        <f>SP64!K48</f>
        <v>0</v>
      </c>
      <c r="K46">
        <f>SP64!L48</f>
        <v>0</v>
      </c>
      <c r="L46" s="243">
        <f>SP64!AS48</f>
        <v>0</v>
      </c>
      <c r="M46" s="243">
        <f>SP64!AT48</f>
        <v>0</v>
      </c>
    </row>
    <row r="47" spans="1:13" ht="12.75">
      <c r="A47" t="str">
        <f t="shared" si="1"/>
        <v>VR1</v>
      </c>
      <c r="B47">
        <f>SP64!C49</f>
        <v>47</v>
      </c>
      <c r="C47" t="e">
        <f>IF((SP64!D49)="Freilos",0,VLOOKUP(SP64!D49,'BA-Teilnehmer'!$G$6:$J$69,4,FALSE))</f>
        <v>#N/A</v>
      </c>
      <c r="D47" t="e">
        <f>IF((SP64!E49)="Freilos",0,VLOOKUP(SP64!E49,'BA-Teilnehmer'!$G$6:$J$69,4,FALSE))</f>
        <v>#N/A</v>
      </c>
      <c r="E47">
        <f>SP64!F49</f>
        <v>0</v>
      </c>
      <c r="F47">
        <f>SP64!G49</f>
        <v>0</v>
      </c>
      <c r="G47">
        <f>SP64!H49</f>
        <v>0</v>
      </c>
      <c r="H47">
        <f>SP64!I49</f>
        <v>0</v>
      </c>
      <c r="I47">
        <f>SP64!J49</f>
        <v>0</v>
      </c>
      <c r="J47">
        <f>SP64!K49</f>
        <v>0</v>
      </c>
      <c r="K47">
        <f>SP64!L49</f>
        <v>0</v>
      </c>
      <c r="L47" s="243">
        <f>SP64!AS49</f>
        <v>0</v>
      </c>
      <c r="M47" s="243">
        <f>SP64!AT49</f>
        <v>0</v>
      </c>
    </row>
    <row r="48" spans="1:13" ht="12.75">
      <c r="A48" t="str">
        <f t="shared" si="1"/>
        <v>VR1</v>
      </c>
      <c r="B48">
        <f>SP64!C50</f>
        <v>48</v>
      </c>
      <c r="C48" t="e">
        <f>IF((SP64!D50)="Freilos",0,VLOOKUP(SP64!D50,'BA-Teilnehmer'!$G$6:$J$69,4,FALSE))</f>
        <v>#N/A</v>
      </c>
      <c r="D48" t="e">
        <f>IF((SP64!E50)="Freilos",0,VLOOKUP(SP64!E50,'BA-Teilnehmer'!$G$6:$J$69,4,FALSE))</f>
        <v>#N/A</v>
      </c>
      <c r="E48">
        <f>SP64!F50</f>
        <v>0</v>
      </c>
      <c r="F48">
        <f>SP64!G50</f>
        <v>0</v>
      </c>
      <c r="G48">
        <f>SP64!H50</f>
        <v>0</v>
      </c>
      <c r="H48">
        <f>SP64!I50</f>
        <v>0</v>
      </c>
      <c r="I48">
        <f>SP64!J50</f>
        <v>0</v>
      </c>
      <c r="J48">
        <f>SP64!K50</f>
        <v>0</v>
      </c>
      <c r="K48">
        <f>SP64!L50</f>
        <v>0</v>
      </c>
      <c r="L48" s="243">
        <f>SP64!AS50</f>
        <v>0</v>
      </c>
      <c r="M48" s="243">
        <f>SP64!AT50</f>
        <v>0</v>
      </c>
    </row>
    <row r="49" spans="1:13" ht="12.75">
      <c r="A49" t="str">
        <f>SP64!B51</f>
        <v>GR1</v>
      </c>
      <c r="B49">
        <f>SP64!C51</f>
        <v>49</v>
      </c>
      <c r="C49" t="e">
        <f>IF((SP64!D51)="Freilos",0,VLOOKUP(SP64!D51,'BA-Teilnehmer'!$G$6:$J$69,4,FALSE))</f>
        <v>#N/A</v>
      </c>
      <c r="D49" t="e">
        <f>IF((SP64!E51)="Freilos",0,VLOOKUP(SP64!E51,'BA-Teilnehmer'!$G$6:$J$69,4,FALSE))</f>
        <v>#N/A</v>
      </c>
      <c r="E49">
        <f>SP64!F51</f>
        <v>0</v>
      </c>
      <c r="F49">
        <f>SP64!G51</f>
        <v>0</v>
      </c>
      <c r="G49">
        <f>SP64!H51</f>
        <v>0</v>
      </c>
      <c r="H49">
        <f>SP64!I51</f>
        <v>0</v>
      </c>
      <c r="I49">
        <f>SP64!J51</f>
        <v>0</v>
      </c>
      <c r="J49">
        <f>SP64!K51</f>
        <v>0</v>
      </c>
      <c r="K49">
        <f>SP64!L51</f>
        <v>0</v>
      </c>
      <c r="L49" s="243">
        <f>SP64!AS51</f>
        <v>0</v>
      </c>
      <c r="M49" s="243">
        <f>SP64!AT51</f>
        <v>0</v>
      </c>
    </row>
    <row r="50" spans="1:13" ht="12.75">
      <c r="A50" t="str">
        <f>$A$49</f>
        <v>GR1</v>
      </c>
      <c r="B50">
        <f>SP64!C52</f>
        <v>50</v>
      </c>
      <c r="C50" t="e">
        <f>IF((SP64!D52)="Freilos",0,VLOOKUP(SP64!D52,'BA-Teilnehmer'!$G$6:$J$69,4,FALSE))</f>
        <v>#N/A</v>
      </c>
      <c r="D50" t="e">
        <f>IF((SP64!E52)="Freilos",0,VLOOKUP(SP64!E52,'BA-Teilnehmer'!$G$6:$J$69,4,FALSE))</f>
        <v>#N/A</v>
      </c>
      <c r="E50">
        <f>SP64!F52</f>
        <v>0</v>
      </c>
      <c r="F50">
        <f>SP64!G52</f>
        <v>0</v>
      </c>
      <c r="G50">
        <f>SP64!H52</f>
        <v>0</v>
      </c>
      <c r="H50">
        <f>SP64!I52</f>
        <v>0</v>
      </c>
      <c r="I50">
        <f>SP64!J52</f>
        <v>0</v>
      </c>
      <c r="J50">
        <f>SP64!K52</f>
        <v>0</v>
      </c>
      <c r="K50">
        <f>SP64!L52</f>
        <v>0</v>
      </c>
      <c r="L50" s="243">
        <f>SP64!AS52</f>
        <v>0</v>
      </c>
      <c r="M50" s="243">
        <f>SP64!AT52</f>
        <v>0</v>
      </c>
    </row>
    <row r="51" spans="1:13" ht="12.75">
      <c r="A51" t="str">
        <f aca="true" t="shared" si="2" ref="A51:A64">$A$49</f>
        <v>GR1</v>
      </c>
      <c r="B51">
        <f>SP64!C53</f>
        <v>51</v>
      </c>
      <c r="C51" t="e">
        <f>IF((SP64!D53)="Freilos",0,VLOOKUP(SP64!D53,'BA-Teilnehmer'!$G$6:$J$69,4,FALSE))</f>
        <v>#N/A</v>
      </c>
      <c r="D51" t="e">
        <f>IF((SP64!E53)="Freilos",0,VLOOKUP(SP64!E53,'BA-Teilnehmer'!$G$6:$J$69,4,FALSE))</f>
        <v>#N/A</v>
      </c>
      <c r="E51">
        <f>SP64!F53</f>
        <v>0</v>
      </c>
      <c r="F51">
        <f>SP64!G53</f>
        <v>0</v>
      </c>
      <c r="G51">
        <f>SP64!H53</f>
        <v>0</v>
      </c>
      <c r="H51">
        <f>SP64!I53</f>
        <v>0</v>
      </c>
      <c r="I51">
        <f>SP64!J53</f>
        <v>0</v>
      </c>
      <c r="J51">
        <f>SP64!K53</f>
        <v>0</v>
      </c>
      <c r="K51">
        <f>SP64!L53</f>
        <v>0</v>
      </c>
      <c r="L51" s="243">
        <f>SP64!AS53</f>
        <v>0</v>
      </c>
      <c r="M51" s="243">
        <f>SP64!AT53</f>
        <v>0</v>
      </c>
    </row>
    <row r="52" spans="1:13" ht="12.75">
      <c r="A52" t="str">
        <f t="shared" si="2"/>
        <v>GR1</v>
      </c>
      <c r="B52">
        <f>SP64!C54</f>
        <v>52</v>
      </c>
      <c r="C52" t="e">
        <f>IF((SP64!D54)="Freilos",0,VLOOKUP(SP64!D54,'BA-Teilnehmer'!$G$6:$J$69,4,FALSE))</f>
        <v>#N/A</v>
      </c>
      <c r="D52" t="e">
        <f>IF((SP64!E54)="Freilos",0,VLOOKUP(SP64!E54,'BA-Teilnehmer'!$G$6:$J$69,4,FALSE))</f>
        <v>#N/A</v>
      </c>
      <c r="E52">
        <f>SP64!F54</f>
        <v>0</v>
      </c>
      <c r="F52">
        <f>SP64!G54</f>
        <v>0</v>
      </c>
      <c r="G52">
        <f>SP64!H54</f>
        <v>0</v>
      </c>
      <c r="H52">
        <f>SP64!I54</f>
        <v>0</v>
      </c>
      <c r="I52">
        <f>SP64!J54</f>
        <v>0</v>
      </c>
      <c r="J52">
        <f>SP64!K54</f>
        <v>0</v>
      </c>
      <c r="K52">
        <f>SP64!L54</f>
        <v>0</v>
      </c>
      <c r="L52" s="243">
        <f>SP64!AS54</f>
        <v>0</v>
      </c>
      <c r="M52" s="243">
        <f>SP64!AT54</f>
        <v>0</v>
      </c>
    </row>
    <row r="53" spans="1:13" ht="12.75">
      <c r="A53" t="str">
        <f t="shared" si="2"/>
        <v>GR1</v>
      </c>
      <c r="B53">
        <f>SP64!C55</f>
        <v>53</v>
      </c>
      <c r="C53" t="e">
        <f>IF((SP64!D55)="Freilos",0,VLOOKUP(SP64!D55,'BA-Teilnehmer'!$G$6:$J$69,4,FALSE))</f>
        <v>#N/A</v>
      </c>
      <c r="D53" t="e">
        <f>IF((SP64!E55)="Freilos",0,VLOOKUP(SP64!E55,'BA-Teilnehmer'!$G$6:$J$69,4,FALSE))</f>
        <v>#N/A</v>
      </c>
      <c r="E53">
        <f>SP64!F55</f>
        <v>0</v>
      </c>
      <c r="F53">
        <f>SP64!G55</f>
        <v>0</v>
      </c>
      <c r="G53">
        <f>SP64!H55</f>
        <v>0</v>
      </c>
      <c r="H53">
        <f>SP64!I55</f>
        <v>0</v>
      </c>
      <c r="I53">
        <f>SP64!J55</f>
        <v>0</v>
      </c>
      <c r="J53">
        <f>SP64!K55</f>
        <v>0</v>
      </c>
      <c r="K53">
        <f>SP64!L55</f>
        <v>0</v>
      </c>
      <c r="L53" s="243">
        <f>SP64!AS55</f>
        <v>0</v>
      </c>
      <c r="M53" s="243">
        <f>SP64!AT55</f>
        <v>0</v>
      </c>
    </row>
    <row r="54" spans="1:13" ht="12.75">
      <c r="A54" t="str">
        <f t="shared" si="2"/>
        <v>GR1</v>
      </c>
      <c r="B54">
        <f>SP64!C56</f>
        <v>54</v>
      </c>
      <c r="C54" t="e">
        <f>IF((SP64!D56)="Freilos",0,VLOOKUP(SP64!D56,'BA-Teilnehmer'!$G$6:$J$69,4,FALSE))</f>
        <v>#N/A</v>
      </c>
      <c r="D54" t="e">
        <f>IF((SP64!E56)="Freilos",0,VLOOKUP(SP64!E56,'BA-Teilnehmer'!$G$6:$J$69,4,FALSE))</f>
        <v>#N/A</v>
      </c>
      <c r="E54">
        <f>SP64!F56</f>
        <v>0</v>
      </c>
      <c r="F54">
        <f>SP64!G56</f>
        <v>0</v>
      </c>
      <c r="G54">
        <f>SP64!H56</f>
        <v>0</v>
      </c>
      <c r="H54">
        <f>SP64!I56</f>
        <v>0</v>
      </c>
      <c r="I54">
        <f>SP64!J56</f>
        <v>0</v>
      </c>
      <c r="J54">
        <f>SP64!K56</f>
        <v>0</v>
      </c>
      <c r="K54">
        <f>SP64!L56</f>
        <v>0</v>
      </c>
      <c r="L54" s="243">
        <f>SP64!AS56</f>
        <v>0</v>
      </c>
      <c r="M54" s="243">
        <f>SP64!AT56</f>
        <v>0</v>
      </c>
    </row>
    <row r="55" spans="1:13" ht="12.75">
      <c r="A55" t="str">
        <f t="shared" si="2"/>
        <v>GR1</v>
      </c>
      <c r="B55">
        <f>SP64!C57</f>
        <v>55</v>
      </c>
      <c r="C55" t="e">
        <f>IF((SP64!D57)="Freilos",0,VLOOKUP(SP64!D57,'BA-Teilnehmer'!$G$6:$J$69,4,FALSE))</f>
        <v>#N/A</v>
      </c>
      <c r="D55" t="e">
        <f>IF((SP64!E57)="Freilos",0,VLOOKUP(SP64!E57,'BA-Teilnehmer'!$G$6:$J$69,4,FALSE))</f>
        <v>#N/A</v>
      </c>
      <c r="E55">
        <f>SP64!F57</f>
        <v>0</v>
      </c>
      <c r="F55">
        <f>SP64!G57</f>
        <v>0</v>
      </c>
      <c r="G55">
        <f>SP64!H57</f>
        <v>0</v>
      </c>
      <c r="H55">
        <f>SP64!I57</f>
        <v>0</v>
      </c>
      <c r="I55">
        <f>SP64!J57</f>
        <v>0</v>
      </c>
      <c r="J55">
        <f>SP64!K57</f>
        <v>0</v>
      </c>
      <c r="K55">
        <f>SP64!L57</f>
        <v>0</v>
      </c>
      <c r="L55" s="243">
        <f>SP64!AS57</f>
        <v>0</v>
      </c>
      <c r="M55" s="243">
        <f>SP64!AT57</f>
        <v>0</v>
      </c>
    </row>
    <row r="56" spans="1:13" ht="12.75">
      <c r="A56" t="str">
        <f t="shared" si="2"/>
        <v>GR1</v>
      </c>
      <c r="B56">
        <f>SP64!C58</f>
        <v>56</v>
      </c>
      <c r="C56" t="e">
        <f>IF((SP64!D58)="Freilos",0,VLOOKUP(SP64!D58,'BA-Teilnehmer'!$G$6:$J$69,4,FALSE))</f>
        <v>#N/A</v>
      </c>
      <c r="D56" t="e">
        <f>IF((SP64!E58)="Freilos",0,VLOOKUP(SP64!E58,'BA-Teilnehmer'!$G$6:$J$69,4,FALSE))</f>
        <v>#N/A</v>
      </c>
      <c r="E56">
        <f>SP64!F58</f>
        <v>0</v>
      </c>
      <c r="F56">
        <f>SP64!G58</f>
        <v>0</v>
      </c>
      <c r="G56">
        <f>SP64!H58</f>
        <v>0</v>
      </c>
      <c r="H56">
        <f>SP64!I58</f>
        <v>0</v>
      </c>
      <c r="I56">
        <f>SP64!J58</f>
        <v>0</v>
      </c>
      <c r="J56">
        <f>SP64!K58</f>
        <v>0</v>
      </c>
      <c r="K56">
        <f>SP64!L58</f>
        <v>0</v>
      </c>
      <c r="L56" s="243">
        <f>SP64!AS58</f>
        <v>0</v>
      </c>
      <c r="M56" s="243">
        <f>SP64!AT58</f>
        <v>0</v>
      </c>
    </row>
    <row r="57" spans="1:13" ht="12.75">
      <c r="A57" t="str">
        <f t="shared" si="2"/>
        <v>GR1</v>
      </c>
      <c r="B57">
        <f>SP64!C59</f>
        <v>57</v>
      </c>
      <c r="C57" t="e">
        <f>IF((SP64!D59)="Freilos",0,VLOOKUP(SP64!D59,'BA-Teilnehmer'!$G$6:$J$69,4,FALSE))</f>
        <v>#N/A</v>
      </c>
      <c r="D57" t="e">
        <f>IF((SP64!E59)="Freilos",0,VLOOKUP(SP64!E59,'BA-Teilnehmer'!$G$6:$J$69,4,FALSE))</f>
        <v>#N/A</v>
      </c>
      <c r="E57">
        <f>SP64!F59</f>
        <v>0</v>
      </c>
      <c r="F57">
        <f>SP64!G59</f>
        <v>0</v>
      </c>
      <c r="G57">
        <f>SP64!H59</f>
        <v>0</v>
      </c>
      <c r="H57">
        <f>SP64!I59</f>
        <v>0</v>
      </c>
      <c r="I57">
        <f>SP64!J59</f>
        <v>0</v>
      </c>
      <c r="J57">
        <f>SP64!K59</f>
        <v>0</v>
      </c>
      <c r="K57">
        <f>SP64!L59</f>
        <v>0</v>
      </c>
      <c r="L57" s="243">
        <f>SP64!AS59</f>
        <v>0</v>
      </c>
      <c r="M57" s="243">
        <f>SP64!AT59</f>
        <v>0</v>
      </c>
    </row>
    <row r="58" spans="1:13" ht="12.75">
      <c r="A58" t="str">
        <f t="shared" si="2"/>
        <v>GR1</v>
      </c>
      <c r="B58">
        <f>SP64!C60</f>
        <v>58</v>
      </c>
      <c r="C58" t="e">
        <f>IF((SP64!D60)="Freilos",0,VLOOKUP(SP64!D60,'BA-Teilnehmer'!$G$6:$J$69,4,FALSE))</f>
        <v>#N/A</v>
      </c>
      <c r="D58" t="e">
        <f>IF((SP64!E60)="Freilos",0,VLOOKUP(SP64!E60,'BA-Teilnehmer'!$G$6:$J$69,4,FALSE))</f>
        <v>#N/A</v>
      </c>
      <c r="E58">
        <f>SP64!F60</f>
        <v>0</v>
      </c>
      <c r="F58">
        <f>SP64!G60</f>
        <v>0</v>
      </c>
      <c r="G58">
        <f>SP64!H60</f>
        <v>0</v>
      </c>
      <c r="H58">
        <f>SP64!I60</f>
        <v>0</v>
      </c>
      <c r="I58">
        <f>SP64!J60</f>
        <v>0</v>
      </c>
      <c r="J58">
        <f>SP64!K60</f>
        <v>0</v>
      </c>
      <c r="K58">
        <f>SP64!L60</f>
        <v>0</v>
      </c>
      <c r="L58" s="243">
        <f>SP64!AS60</f>
        <v>0</v>
      </c>
      <c r="M58" s="243">
        <f>SP64!AT60</f>
        <v>0</v>
      </c>
    </row>
    <row r="59" spans="1:13" ht="12.75">
      <c r="A59" t="str">
        <f t="shared" si="2"/>
        <v>GR1</v>
      </c>
      <c r="B59">
        <f>SP64!C61</f>
        <v>59</v>
      </c>
      <c r="C59" t="e">
        <f>IF((SP64!D61)="Freilos",0,VLOOKUP(SP64!D61,'BA-Teilnehmer'!$G$6:$J$69,4,FALSE))</f>
        <v>#N/A</v>
      </c>
      <c r="D59" t="e">
        <f>IF((SP64!E61)="Freilos",0,VLOOKUP(SP64!E61,'BA-Teilnehmer'!$G$6:$J$69,4,FALSE))</f>
        <v>#N/A</v>
      </c>
      <c r="E59">
        <f>SP64!F61</f>
        <v>0</v>
      </c>
      <c r="F59">
        <f>SP64!G61</f>
        <v>0</v>
      </c>
      <c r="G59">
        <f>SP64!H61</f>
        <v>0</v>
      </c>
      <c r="H59">
        <f>SP64!I61</f>
        <v>0</v>
      </c>
      <c r="I59">
        <f>SP64!J61</f>
        <v>0</v>
      </c>
      <c r="J59">
        <f>SP64!K61</f>
        <v>0</v>
      </c>
      <c r="K59">
        <f>SP64!L61</f>
        <v>0</v>
      </c>
      <c r="L59" s="243">
        <f>SP64!AS61</f>
        <v>0</v>
      </c>
      <c r="M59" s="243">
        <f>SP64!AT61</f>
        <v>0</v>
      </c>
    </row>
    <row r="60" spans="1:13" ht="12.75">
      <c r="A60" t="str">
        <f t="shared" si="2"/>
        <v>GR1</v>
      </c>
      <c r="B60">
        <f>SP64!C62</f>
        <v>60</v>
      </c>
      <c r="C60" t="e">
        <f>IF((SP64!D62)="Freilos",0,VLOOKUP(SP64!D62,'BA-Teilnehmer'!$G$6:$J$69,4,FALSE))</f>
        <v>#N/A</v>
      </c>
      <c r="D60" t="e">
        <f>IF((SP64!E62)="Freilos",0,VLOOKUP(SP64!E62,'BA-Teilnehmer'!$G$6:$J$69,4,FALSE))</f>
        <v>#N/A</v>
      </c>
      <c r="E60">
        <f>SP64!F62</f>
        <v>0</v>
      </c>
      <c r="F60">
        <f>SP64!G62</f>
        <v>0</v>
      </c>
      <c r="G60">
        <f>SP64!H62</f>
        <v>0</v>
      </c>
      <c r="H60">
        <f>SP64!I62</f>
        <v>0</v>
      </c>
      <c r="I60">
        <f>SP64!J62</f>
        <v>0</v>
      </c>
      <c r="J60">
        <f>SP64!K62</f>
        <v>0</v>
      </c>
      <c r="K60">
        <f>SP64!L62</f>
        <v>0</v>
      </c>
      <c r="L60" s="243">
        <f>SP64!AS62</f>
        <v>0</v>
      </c>
      <c r="M60" s="243">
        <f>SP64!AT62</f>
        <v>0</v>
      </c>
    </row>
    <row r="61" spans="1:13" ht="12.75">
      <c r="A61" t="str">
        <f t="shared" si="2"/>
        <v>GR1</v>
      </c>
      <c r="B61">
        <f>SP64!C63</f>
        <v>61</v>
      </c>
      <c r="C61" t="e">
        <f>IF((SP64!D63)="Freilos",0,VLOOKUP(SP64!D63,'BA-Teilnehmer'!$G$6:$J$69,4,FALSE))</f>
        <v>#N/A</v>
      </c>
      <c r="D61" t="e">
        <f>IF((SP64!E63)="Freilos",0,VLOOKUP(SP64!E63,'BA-Teilnehmer'!$G$6:$J$69,4,FALSE))</f>
        <v>#N/A</v>
      </c>
      <c r="E61">
        <f>SP64!F63</f>
        <v>0</v>
      </c>
      <c r="F61">
        <f>SP64!G63</f>
        <v>0</v>
      </c>
      <c r="G61">
        <f>SP64!H63</f>
        <v>0</v>
      </c>
      <c r="H61">
        <f>SP64!I63</f>
        <v>0</v>
      </c>
      <c r="I61">
        <f>SP64!J63</f>
        <v>0</v>
      </c>
      <c r="J61">
        <f>SP64!K63</f>
        <v>0</v>
      </c>
      <c r="K61">
        <f>SP64!L63</f>
        <v>0</v>
      </c>
      <c r="L61" s="243">
        <f>SP64!AS63</f>
        <v>0</v>
      </c>
      <c r="M61" s="243">
        <f>SP64!AT63</f>
        <v>0</v>
      </c>
    </row>
    <row r="62" spans="1:13" ht="12.75">
      <c r="A62" t="str">
        <f t="shared" si="2"/>
        <v>GR1</v>
      </c>
      <c r="B62">
        <f>SP64!C64</f>
        <v>62</v>
      </c>
      <c r="C62" t="e">
        <f>IF((SP64!D64)="Freilos",0,VLOOKUP(SP64!D64,'BA-Teilnehmer'!$G$6:$J$69,4,FALSE))</f>
        <v>#N/A</v>
      </c>
      <c r="D62" t="e">
        <f>IF((SP64!E64)="Freilos",0,VLOOKUP(SP64!E64,'BA-Teilnehmer'!$G$6:$J$69,4,FALSE))</f>
        <v>#N/A</v>
      </c>
      <c r="E62">
        <f>SP64!F64</f>
        <v>0</v>
      </c>
      <c r="F62">
        <f>SP64!G64</f>
        <v>0</v>
      </c>
      <c r="G62">
        <f>SP64!H64</f>
        <v>0</v>
      </c>
      <c r="H62">
        <f>SP64!I64</f>
        <v>0</v>
      </c>
      <c r="I62">
        <f>SP64!J64</f>
        <v>0</v>
      </c>
      <c r="J62">
        <f>SP64!K64</f>
        <v>0</v>
      </c>
      <c r="K62">
        <f>SP64!L64</f>
        <v>0</v>
      </c>
      <c r="L62" s="243">
        <f>SP64!AS64</f>
        <v>0</v>
      </c>
      <c r="M62" s="243">
        <f>SP64!AT64</f>
        <v>0</v>
      </c>
    </row>
    <row r="63" spans="1:13" ht="12.75">
      <c r="A63" t="str">
        <f t="shared" si="2"/>
        <v>GR1</v>
      </c>
      <c r="B63">
        <f>SP64!C65</f>
        <v>63</v>
      </c>
      <c r="C63" t="e">
        <f>IF((SP64!D65)="Freilos",0,VLOOKUP(SP64!D65,'BA-Teilnehmer'!$G$6:$J$69,4,FALSE))</f>
        <v>#N/A</v>
      </c>
      <c r="D63" t="e">
        <f>IF((SP64!E65)="Freilos",0,VLOOKUP(SP64!E65,'BA-Teilnehmer'!$G$6:$J$69,4,FALSE))</f>
        <v>#N/A</v>
      </c>
      <c r="E63">
        <f>SP64!F65</f>
        <v>0</v>
      </c>
      <c r="F63">
        <f>SP64!G65</f>
        <v>0</v>
      </c>
      <c r="G63">
        <f>SP64!H65</f>
        <v>0</v>
      </c>
      <c r="H63">
        <f>SP64!I65</f>
        <v>0</v>
      </c>
      <c r="I63">
        <f>SP64!J65</f>
        <v>0</v>
      </c>
      <c r="J63">
        <f>SP64!K65</f>
        <v>0</v>
      </c>
      <c r="K63">
        <f>SP64!L65</f>
        <v>0</v>
      </c>
      <c r="L63" s="243">
        <f>SP64!AS65</f>
        <v>0</v>
      </c>
      <c r="M63" s="243">
        <f>SP64!AT65</f>
        <v>0</v>
      </c>
    </row>
    <row r="64" spans="1:13" ht="12.75">
      <c r="A64" t="str">
        <f t="shared" si="2"/>
        <v>GR1</v>
      </c>
      <c r="B64">
        <f>SP64!C66</f>
        <v>64</v>
      </c>
      <c r="C64" t="e">
        <f>IF((SP64!D66)="Freilos",0,VLOOKUP(SP64!D66,'BA-Teilnehmer'!$G$6:$J$69,4,FALSE))</f>
        <v>#N/A</v>
      </c>
      <c r="D64" t="e">
        <f>IF((SP64!E66)="Freilos",0,VLOOKUP(SP64!E66,'BA-Teilnehmer'!$G$6:$J$69,4,FALSE))</f>
        <v>#N/A</v>
      </c>
      <c r="E64">
        <f>SP64!F66</f>
        <v>0</v>
      </c>
      <c r="F64">
        <f>SP64!G66</f>
        <v>0</v>
      </c>
      <c r="G64">
        <f>SP64!H66</f>
        <v>0</v>
      </c>
      <c r="H64">
        <f>SP64!I66</f>
        <v>0</v>
      </c>
      <c r="I64">
        <f>SP64!J66</f>
        <v>0</v>
      </c>
      <c r="J64">
        <f>SP64!K66</f>
        <v>0</v>
      </c>
      <c r="K64">
        <f>SP64!L66</f>
        <v>0</v>
      </c>
      <c r="L64" s="243">
        <f>SP64!AS66</f>
        <v>0</v>
      </c>
      <c r="M64" s="243">
        <f>SP64!AT66</f>
        <v>0</v>
      </c>
    </row>
    <row r="65" spans="1:13" ht="12.75">
      <c r="A65" t="str">
        <f>SP64!B67</f>
        <v>VR2</v>
      </c>
      <c r="B65">
        <f>SP64!C67</f>
        <v>65</v>
      </c>
      <c r="C65" t="e">
        <f>IF((SP64!D67)="Freilos",0,VLOOKUP(SP64!D67,'BA-Teilnehmer'!$G$6:$J$69,4,FALSE))</f>
        <v>#N/A</v>
      </c>
      <c r="D65" t="e">
        <f>IF((SP64!E67)="Freilos",0,VLOOKUP(SP64!E67,'BA-Teilnehmer'!$G$6:$J$69,4,FALSE))</f>
        <v>#N/A</v>
      </c>
      <c r="E65">
        <f>SP64!F67</f>
        <v>0</v>
      </c>
      <c r="F65">
        <f>SP64!G67</f>
        <v>0</v>
      </c>
      <c r="G65">
        <f>SP64!H67</f>
        <v>0</v>
      </c>
      <c r="H65">
        <f>SP64!I67</f>
        <v>0</v>
      </c>
      <c r="I65">
        <f>SP64!J67</f>
        <v>0</v>
      </c>
      <c r="J65">
        <f>SP64!K67</f>
        <v>0</v>
      </c>
      <c r="K65">
        <f>SP64!L67</f>
        <v>0</v>
      </c>
      <c r="L65" s="243">
        <f>SP64!AS67</f>
        <v>0</v>
      </c>
      <c r="M65" s="243">
        <f>SP64!AT67</f>
        <v>0</v>
      </c>
    </row>
    <row r="66" spans="1:13" ht="12.75">
      <c r="A66" t="str">
        <f>$A$65</f>
        <v>VR2</v>
      </c>
      <c r="B66">
        <f>SP64!C68</f>
        <v>66</v>
      </c>
      <c r="C66" t="e">
        <f>IF((SP64!D68)="Freilos",0,VLOOKUP(SP64!D68,'BA-Teilnehmer'!$G$6:$J$69,4,FALSE))</f>
        <v>#N/A</v>
      </c>
      <c r="D66" t="e">
        <f>IF((SP64!E68)="Freilos",0,VLOOKUP(SP64!E68,'BA-Teilnehmer'!$G$6:$J$69,4,FALSE))</f>
        <v>#N/A</v>
      </c>
      <c r="E66">
        <f>SP64!F68</f>
        <v>0</v>
      </c>
      <c r="F66">
        <f>SP64!G68</f>
        <v>0</v>
      </c>
      <c r="G66">
        <f>SP64!H68</f>
        <v>0</v>
      </c>
      <c r="H66">
        <f>SP64!I68</f>
        <v>0</v>
      </c>
      <c r="I66">
        <f>SP64!J68</f>
        <v>0</v>
      </c>
      <c r="J66">
        <f>SP64!K68</f>
        <v>0</v>
      </c>
      <c r="K66">
        <f>SP64!L68</f>
        <v>0</v>
      </c>
      <c r="L66" s="243">
        <f>SP64!AS68</f>
        <v>0</v>
      </c>
      <c r="M66" s="243">
        <f>SP64!AT68</f>
        <v>0</v>
      </c>
    </row>
    <row r="67" spans="1:13" ht="12.75">
      <c r="A67" t="str">
        <f aca="true" t="shared" si="3" ref="A67:A80">$A$65</f>
        <v>VR2</v>
      </c>
      <c r="B67">
        <f>SP64!C69</f>
        <v>67</v>
      </c>
      <c r="C67" t="e">
        <f>IF((SP64!D69)="Freilos",0,VLOOKUP(SP64!D69,'BA-Teilnehmer'!$G$6:$J$69,4,FALSE))</f>
        <v>#N/A</v>
      </c>
      <c r="D67" t="e">
        <f>IF((SP64!E69)="Freilos",0,VLOOKUP(SP64!E69,'BA-Teilnehmer'!$G$6:$J$69,4,FALSE))</f>
        <v>#N/A</v>
      </c>
      <c r="E67">
        <f>SP64!F69</f>
        <v>0</v>
      </c>
      <c r="F67">
        <f>SP64!G69</f>
        <v>0</v>
      </c>
      <c r="G67">
        <f>SP64!H69</f>
        <v>0</v>
      </c>
      <c r="H67">
        <f>SP64!I69</f>
        <v>0</v>
      </c>
      <c r="I67">
        <f>SP64!J69</f>
        <v>0</v>
      </c>
      <c r="J67">
        <f>SP64!K69</f>
        <v>0</v>
      </c>
      <c r="K67">
        <f>SP64!L69</f>
        <v>0</v>
      </c>
      <c r="L67" s="243">
        <f>SP64!AS69</f>
        <v>0</v>
      </c>
      <c r="M67" s="243">
        <f>SP64!AT69</f>
        <v>0</v>
      </c>
    </row>
    <row r="68" spans="1:13" ht="12.75">
      <c r="A68" t="str">
        <f t="shared" si="3"/>
        <v>VR2</v>
      </c>
      <c r="B68">
        <f>SP64!C70</f>
        <v>68</v>
      </c>
      <c r="C68" t="e">
        <f>IF((SP64!D70)="Freilos",0,VLOOKUP(SP64!D70,'BA-Teilnehmer'!$G$6:$J$69,4,FALSE))</f>
        <v>#N/A</v>
      </c>
      <c r="D68" t="e">
        <f>IF((SP64!E70)="Freilos",0,VLOOKUP(SP64!E70,'BA-Teilnehmer'!$G$6:$J$69,4,FALSE))</f>
        <v>#N/A</v>
      </c>
      <c r="E68">
        <f>SP64!F70</f>
        <v>0</v>
      </c>
      <c r="F68">
        <f>SP64!G70</f>
        <v>0</v>
      </c>
      <c r="G68">
        <f>SP64!H70</f>
        <v>0</v>
      </c>
      <c r="H68">
        <f>SP64!I70</f>
        <v>0</v>
      </c>
      <c r="I68">
        <f>SP64!J70</f>
        <v>0</v>
      </c>
      <c r="J68">
        <f>SP64!K70</f>
        <v>0</v>
      </c>
      <c r="K68">
        <f>SP64!L70</f>
        <v>0</v>
      </c>
      <c r="L68" s="243">
        <f>SP64!AS70</f>
        <v>0</v>
      </c>
      <c r="M68" s="243">
        <f>SP64!AT70</f>
        <v>0</v>
      </c>
    </row>
    <row r="69" spans="1:13" ht="12.75">
      <c r="A69" t="str">
        <f t="shared" si="3"/>
        <v>VR2</v>
      </c>
      <c r="B69">
        <f>SP64!C71</f>
        <v>69</v>
      </c>
      <c r="C69" t="e">
        <f>IF((SP64!D71)="Freilos",0,VLOOKUP(SP64!D71,'BA-Teilnehmer'!$G$6:$J$69,4,FALSE))</f>
        <v>#N/A</v>
      </c>
      <c r="D69" t="e">
        <f>IF((SP64!E71)="Freilos",0,VLOOKUP(SP64!E71,'BA-Teilnehmer'!$G$6:$J$69,4,FALSE))</f>
        <v>#N/A</v>
      </c>
      <c r="E69">
        <f>SP64!F71</f>
        <v>0</v>
      </c>
      <c r="F69">
        <f>SP64!G71</f>
        <v>0</v>
      </c>
      <c r="G69">
        <f>SP64!H71</f>
        <v>0</v>
      </c>
      <c r="H69">
        <f>SP64!I71</f>
        <v>0</v>
      </c>
      <c r="I69">
        <f>SP64!J71</f>
        <v>0</v>
      </c>
      <c r="J69">
        <f>SP64!K71</f>
        <v>0</v>
      </c>
      <c r="K69">
        <f>SP64!L71</f>
        <v>0</v>
      </c>
      <c r="L69" s="243">
        <f>SP64!AS71</f>
        <v>0</v>
      </c>
      <c r="M69" s="243">
        <f>SP64!AT71</f>
        <v>0</v>
      </c>
    </row>
    <row r="70" spans="1:13" ht="12.75">
      <c r="A70" t="str">
        <f t="shared" si="3"/>
        <v>VR2</v>
      </c>
      <c r="B70">
        <f>SP64!C72</f>
        <v>70</v>
      </c>
      <c r="C70" t="e">
        <f>IF((SP64!D72)="Freilos",0,VLOOKUP(SP64!D72,'BA-Teilnehmer'!$G$6:$J$69,4,FALSE))</f>
        <v>#N/A</v>
      </c>
      <c r="D70" t="e">
        <f>IF((SP64!E72)="Freilos",0,VLOOKUP(SP64!E72,'BA-Teilnehmer'!$G$6:$J$69,4,FALSE))</f>
        <v>#N/A</v>
      </c>
      <c r="E70">
        <f>SP64!F72</f>
        <v>0</v>
      </c>
      <c r="F70">
        <f>SP64!G72</f>
        <v>0</v>
      </c>
      <c r="G70">
        <f>SP64!H72</f>
        <v>0</v>
      </c>
      <c r="H70">
        <f>SP64!I72</f>
        <v>0</v>
      </c>
      <c r="I70">
        <f>SP64!J72</f>
        <v>0</v>
      </c>
      <c r="J70">
        <f>SP64!K72</f>
        <v>0</v>
      </c>
      <c r="K70">
        <f>SP64!L72</f>
        <v>0</v>
      </c>
      <c r="L70" s="243">
        <f>SP64!AS72</f>
        <v>0</v>
      </c>
      <c r="M70" s="243">
        <f>SP64!AT72</f>
        <v>0</v>
      </c>
    </row>
    <row r="71" spans="1:13" ht="12.75">
      <c r="A71" t="str">
        <f t="shared" si="3"/>
        <v>VR2</v>
      </c>
      <c r="B71">
        <f>SP64!C73</f>
        <v>71</v>
      </c>
      <c r="C71" t="e">
        <f>IF((SP64!D73)="Freilos",0,VLOOKUP(SP64!D73,'BA-Teilnehmer'!$G$6:$J$69,4,FALSE))</f>
        <v>#N/A</v>
      </c>
      <c r="D71" t="e">
        <f>IF((SP64!E73)="Freilos",0,VLOOKUP(SP64!E73,'BA-Teilnehmer'!$G$6:$J$69,4,FALSE))</f>
        <v>#N/A</v>
      </c>
      <c r="E71">
        <f>SP64!F73</f>
        <v>0</v>
      </c>
      <c r="F71">
        <f>SP64!G73</f>
        <v>0</v>
      </c>
      <c r="G71">
        <f>SP64!H73</f>
        <v>0</v>
      </c>
      <c r="H71">
        <f>SP64!I73</f>
        <v>0</v>
      </c>
      <c r="I71">
        <f>SP64!J73</f>
        <v>0</v>
      </c>
      <c r="J71">
        <f>SP64!K73</f>
        <v>0</v>
      </c>
      <c r="K71">
        <f>SP64!L73</f>
        <v>0</v>
      </c>
      <c r="L71" s="243">
        <f>SP64!AS73</f>
        <v>0</v>
      </c>
      <c r="M71" s="243">
        <f>SP64!AT73</f>
        <v>0</v>
      </c>
    </row>
    <row r="72" spans="1:13" ht="12.75">
      <c r="A72" t="str">
        <f t="shared" si="3"/>
        <v>VR2</v>
      </c>
      <c r="B72">
        <f>SP64!C74</f>
        <v>72</v>
      </c>
      <c r="C72" t="e">
        <f>IF((SP64!D74)="Freilos",0,VLOOKUP(SP64!D74,'BA-Teilnehmer'!$G$6:$J$69,4,FALSE))</f>
        <v>#N/A</v>
      </c>
      <c r="D72" t="e">
        <f>IF((SP64!E74)="Freilos",0,VLOOKUP(SP64!E74,'BA-Teilnehmer'!$G$6:$J$69,4,FALSE))</f>
        <v>#N/A</v>
      </c>
      <c r="E72">
        <f>SP64!F74</f>
        <v>0</v>
      </c>
      <c r="F72">
        <f>SP64!G74</f>
        <v>0</v>
      </c>
      <c r="G72">
        <f>SP64!H74</f>
        <v>0</v>
      </c>
      <c r="H72">
        <f>SP64!I74</f>
        <v>0</v>
      </c>
      <c r="I72">
        <f>SP64!J74</f>
        <v>0</v>
      </c>
      <c r="J72">
        <f>SP64!K74</f>
        <v>0</v>
      </c>
      <c r="K72">
        <f>SP64!L74</f>
        <v>0</v>
      </c>
      <c r="L72" s="243">
        <f>SP64!AS74</f>
        <v>0</v>
      </c>
      <c r="M72" s="243">
        <f>SP64!AT74</f>
        <v>0</v>
      </c>
    </row>
    <row r="73" spans="1:13" ht="12.75">
      <c r="A73" t="str">
        <f t="shared" si="3"/>
        <v>VR2</v>
      </c>
      <c r="B73">
        <f>SP64!C75</f>
        <v>73</v>
      </c>
      <c r="C73" t="e">
        <f>IF((SP64!D75)="Freilos",0,VLOOKUP(SP64!D75,'BA-Teilnehmer'!$G$6:$J$69,4,FALSE))</f>
        <v>#N/A</v>
      </c>
      <c r="D73" t="e">
        <f>IF((SP64!E75)="Freilos",0,VLOOKUP(SP64!E75,'BA-Teilnehmer'!$G$6:$J$69,4,FALSE))</f>
        <v>#N/A</v>
      </c>
      <c r="E73">
        <f>SP64!F75</f>
        <v>0</v>
      </c>
      <c r="F73">
        <f>SP64!G75</f>
        <v>0</v>
      </c>
      <c r="G73">
        <f>SP64!H75</f>
        <v>0</v>
      </c>
      <c r="H73">
        <f>SP64!I75</f>
        <v>0</v>
      </c>
      <c r="I73">
        <f>SP64!J75</f>
        <v>0</v>
      </c>
      <c r="J73">
        <f>SP64!K75</f>
        <v>0</v>
      </c>
      <c r="K73">
        <f>SP64!L75</f>
        <v>0</v>
      </c>
      <c r="L73" s="243">
        <f>SP64!AS75</f>
        <v>0</v>
      </c>
      <c r="M73" s="243">
        <f>SP64!AT75</f>
        <v>0</v>
      </c>
    </row>
    <row r="74" spans="1:13" ht="12.75">
      <c r="A74" t="str">
        <f t="shared" si="3"/>
        <v>VR2</v>
      </c>
      <c r="B74">
        <f>SP64!C76</f>
        <v>74</v>
      </c>
      <c r="C74" t="e">
        <f>IF((SP64!D76)="Freilos",0,VLOOKUP(SP64!D76,'BA-Teilnehmer'!$G$6:$J$69,4,FALSE))</f>
        <v>#N/A</v>
      </c>
      <c r="D74" t="e">
        <f>IF((SP64!E76)="Freilos",0,VLOOKUP(SP64!E76,'BA-Teilnehmer'!$G$6:$J$69,4,FALSE))</f>
        <v>#N/A</v>
      </c>
      <c r="E74">
        <f>SP64!F76</f>
        <v>0</v>
      </c>
      <c r="F74">
        <f>SP64!G76</f>
        <v>0</v>
      </c>
      <c r="G74">
        <f>SP64!H76</f>
        <v>0</v>
      </c>
      <c r="H74">
        <f>SP64!I76</f>
        <v>0</v>
      </c>
      <c r="I74">
        <f>SP64!J76</f>
        <v>0</v>
      </c>
      <c r="J74">
        <f>SP64!K76</f>
        <v>0</v>
      </c>
      <c r="K74">
        <f>SP64!L76</f>
        <v>0</v>
      </c>
      <c r="L74" s="243">
        <f>SP64!AS76</f>
        <v>0</v>
      </c>
      <c r="M74" s="243">
        <f>SP64!AT76</f>
        <v>0</v>
      </c>
    </row>
    <row r="75" spans="1:13" ht="12.75">
      <c r="A75" t="str">
        <f t="shared" si="3"/>
        <v>VR2</v>
      </c>
      <c r="B75">
        <f>SP64!C77</f>
        <v>75</v>
      </c>
      <c r="C75" t="e">
        <f>IF((SP64!D77)="Freilos",0,VLOOKUP(SP64!D77,'BA-Teilnehmer'!$G$6:$J$69,4,FALSE))</f>
        <v>#N/A</v>
      </c>
      <c r="D75" t="e">
        <f>IF((SP64!E77)="Freilos",0,VLOOKUP(SP64!E77,'BA-Teilnehmer'!$G$6:$J$69,4,FALSE))</f>
        <v>#N/A</v>
      </c>
      <c r="E75">
        <f>SP64!F77</f>
        <v>0</v>
      </c>
      <c r="F75">
        <f>SP64!G77</f>
        <v>0</v>
      </c>
      <c r="G75">
        <f>SP64!H77</f>
        <v>0</v>
      </c>
      <c r="H75">
        <f>SP64!I77</f>
        <v>0</v>
      </c>
      <c r="I75">
        <f>SP64!J77</f>
        <v>0</v>
      </c>
      <c r="J75">
        <f>SP64!K77</f>
        <v>0</v>
      </c>
      <c r="K75">
        <f>SP64!L77</f>
        <v>0</v>
      </c>
      <c r="L75" s="243">
        <f>SP64!AS77</f>
        <v>0</v>
      </c>
      <c r="M75" s="243">
        <f>SP64!AT77</f>
        <v>0</v>
      </c>
    </row>
    <row r="76" spans="1:13" ht="12.75">
      <c r="A76" t="str">
        <f t="shared" si="3"/>
        <v>VR2</v>
      </c>
      <c r="B76">
        <f>SP64!C78</f>
        <v>76</v>
      </c>
      <c r="C76" t="e">
        <f>IF((SP64!D78)="Freilos",0,VLOOKUP(SP64!D78,'BA-Teilnehmer'!$G$6:$J$69,4,FALSE))</f>
        <v>#N/A</v>
      </c>
      <c r="D76" t="e">
        <f>IF((SP64!E78)="Freilos",0,VLOOKUP(SP64!E78,'BA-Teilnehmer'!$G$6:$J$69,4,FALSE))</f>
        <v>#N/A</v>
      </c>
      <c r="E76">
        <f>SP64!F78</f>
        <v>0</v>
      </c>
      <c r="F76">
        <f>SP64!G78</f>
        <v>0</v>
      </c>
      <c r="G76">
        <f>SP64!H78</f>
        <v>0</v>
      </c>
      <c r="H76">
        <f>SP64!I78</f>
        <v>0</v>
      </c>
      <c r="I76">
        <f>SP64!J78</f>
        <v>0</v>
      </c>
      <c r="J76">
        <f>SP64!K78</f>
        <v>0</v>
      </c>
      <c r="K76">
        <f>SP64!L78</f>
        <v>0</v>
      </c>
      <c r="L76" s="243">
        <f>SP64!AS78</f>
        <v>0</v>
      </c>
      <c r="M76" s="243">
        <f>SP64!AT78</f>
        <v>0</v>
      </c>
    </row>
    <row r="77" spans="1:13" ht="12.75">
      <c r="A77" t="str">
        <f t="shared" si="3"/>
        <v>VR2</v>
      </c>
      <c r="B77">
        <f>SP64!C79</f>
        <v>77</v>
      </c>
      <c r="C77" t="e">
        <f>IF((SP64!D79)="Freilos",0,VLOOKUP(SP64!D79,'BA-Teilnehmer'!$G$6:$J$69,4,FALSE))</f>
        <v>#N/A</v>
      </c>
      <c r="D77" t="e">
        <f>IF((SP64!E79)="Freilos",0,VLOOKUP(SP64!E79,'BA-Teilnehmer'!$G$6:$J$69,4,FALSE))</f>
        <v>#N/A</v>
      </c>
      <c r="E77">
        <f>SP64!F79</f>
        <v>0</v>
      </c>
      <c r="F77">
        <f>SP64!G79</f>
        <v>0</v>
      </c>
      <c r="G77">
        <f>SP64!H79</f>
        <v>0</v>
      </c>
      <c r="H77">
        <f>SP64!I79</f>
        <v>0</v>
      </c>
      <c r="I77">
        <f>SP64!J79</f>
        <v>0</v>
      </c>
      <c r="J77">
        <f>SP64!K79</f>
        <v>0</v>
      </c>
      <c r="K77">
        <f>SP64!L79</f>
        <v>0</v>
      </c>
      <c r="L77" s="243">
        <f>SP64!AS79</f>
        <v>0</v>
      </c>
      <c r="M77" s="243">
        <f>SP64!AT79</f>
        <v>0</v>
      </c>
    </row>
    <row r="78" spans="1:13" ht="12.75">
      <c r="A78" t="str">
        <f t="shared" si="3"/>
        <v>VR2</v>
      </c>
      <c r="B78">
        <f>SP64!C80</f>
        <v>78</v>
      </c>
      <c r="C78" t="e">
        <f>IF((SP64!D80)="Freilos",0,VLOOKUP(SP64!D80,'BA-Teilnehmer'!$G$6:$J$69,4,FALSE))</f>
        <v>#N/A</v>
      </c>
      <c r="D78" t="e">
        <f>IF((SP64!E80)="Freilos",0,VLOOKUP(SP64!E80,'BA-Teilnehmer'!$G$6:$J$69,4,FALSE))</f>
        <v>#N/A</v>
      </c>
      <c r="E78">
        <f>SP64!F80</f>
        <v>0</v>
      </c>
      <c r="F78">
        <f>SP64!G80</f>
        <v>0</v>
      </c>
      <c r="G78">
        <f>SP64!H80</f>
        <v>0</v>
      </c>
      <c r="H78">
        <f>SP64!I80</f>
        <v>0</v>
      </c>
      <c r="I78">
        <f>SP64!J80</f>
        <v>0</v>
      </c>
      <c r="J78">
        <f>SP64!K80</f>
        <v>0</v>
      </c>
      <c r="K78">
        <f>SP64!L80</f>
        <v>0</v>
      </c>
      <c r="L78" s="243">
        <f>SP64!AS80</f>
        <v>0</v>
      </c>
      <c r="M78" s="243">
        <f>SP64!AT80</f>
        <v>0</v>
      </c>
    </row>
    <row r="79" spans="1:13" ht="12.75">
      <c r="A79" t="str">
        <f t="shared" si="3"/>
        <v>VR2</v>
      </c>
      <c r="B79">
        <f>SP64!C81</f>
        <v>79</v>
      </c>
      <c r="C79" t="e">
        <f>IF((SP64!D81)="Freilos",0,VLOOKUP(SP64!D81,'BA-Teilnehmer'!$G$6:$J$69,4,FALSE))</f>
        <v>#N/A</v>
      </c>
      <c r="D79" t="e">
        <f>IF((SP64!E81)="Freilos",0,VLOOKUP(SP64!E81,'BA-Teilnehmer'!$G$6:$J$69,4,FALSE))</f>
        <v>#N/A</v>
      </c>
      <c r="E79">
        <f>SP64!F81</f>
        <v>0</v>
      </c>
      <c r="F79">
        <f>SP64!G81</f>
        <v>0</v>
      </c>
      <c r="G79">
        <f>SP64!H81</f>
        <v>0</v>
      </c>
      <c r="H79">
        <f>SP64!I81</f>
        <v>0</v>
      </c>
      <c r="I79">
        <f>SP64!J81</f>
        <v>0</v>
      </c>
      <c r="J79">
        <f>SP64!K81</f>
        <v>0</v>
      </c>
      <c r="K79">
        <f>SP64!L81</f>
        <v>0</v>
      </c>
      <c r="L79" s="243">
        <f>SP64!AS81</f>
        <v>0</v>
      </c>
      <c r="M79" s="243">
        <f>SP64!AT81</f>
        <v>0</v>
      </c>
    </row>
    <row r="80" spans="1:13" ht="12.75">
      <c r="A80" t="str">
        <f t="shared" si="3"/>
        <v>VR2</v>
      </c>
      <c r="B80">
        <f>SP64!C82</f>
        <v>80</v>
      </c>
      <c r="C80" t="e">
        <f>IF((SP64!D82)="Freilos",0,VLOOKUP(SP64!D82,'BA-Teilnehmer'!$G$6:$J$69,4,FALSE))</f>
        <v>#N/A</v>
      </c>
      <c r="D80" t="e">
        <f>IF((SP64!E82)="Freilos",0,VLOOKUP(SP64!E82,'BA-Teilnehmer'!$G$6:$J$69,4,FALSE))</f>
        <v>#N/A</v>
      </c>
      <c r="E80">
        <f>SP64!F82</f>
        <v>0</v>
      </c>
      <c r="F80">
        <f>SP64!G82</f>
        <v>0</v>
      </c>
      <c r="G80">
        <f>SP64!H82</f>
        <v>0</v>
      </c>
      <c r="H80">
        <f>SP64!I82</f>
        <v>0</v>
      </c>
      <c r="I80">
        <f>SP64!J82</f>
        <v>0</v>
      </c>
      <c r="J80">
        <f>SP64!K82</f>
        <v>0</v>
      </c>
      <c r="K80">
        <f>SP64!L82</f>
        <v>0</v>
      </c>
      <c r="L80" s="243">
        <f>SP64!AS82</f>
        <v>0</v>
      </c>
      <c r="M80" s="243">
        <f>SP64!AT82</f>
        <v>0</v>
      </c>
    </row>
    <row r="81" spans="1:13" ht="12.75">
      <c r="A81" t="str">
        <f>SP64!B83</f>
        <v>VR3</v>
      </c>
      <c r="B81">
        <f>SP64!C83</f>
        <v>81</v>
      </c>
      <c r="C81" t="e">
        <f>IF((SP64!D83)="Freilos",0,VLOOKUP(SP64!D83,'BA-Teilnehmer'!$G$6:$J$69,4,FALSE))</f>
        <v>#N/A</v>
      </c>
      <c r="D81" t="e">
        <f>IF((SP64!E83)="Freilos",0,VLOOKUP(SP64!E83,'BA-Teilnehmer'!$G$6:$J$69,4,FALSE))</f>
        <v>#N/A</v>
      </c>
      <c r="E81">
        <f>SP64!F83</f>
        <v>0</v>
      </c>
      <c r="F81">
        <f>SP64!G83</f>
        <v>0</v>
      </c>
      <c r="G81">
        <f>SP64!H83</f>
        <v>0</v>
      </c>
      <c r="H81">
        <f>SP64!I83</f>
        <v>0</v>
      </c>
      <c r="I81">
        <f>SP64!J83</f>
        <v>0</v>
      </c>
      <c r="J81">
        <f>SP64!K83</f>
        <v>0</v>
      </c>
      <c r="K81">
        <f>SP64!L83</f>
        <v>0</v>
      </c>
      <c r="L81" s="243">
        <f>SP64!AS83</f>
        <v>0</v>
      </c>
      <c r="M81" s="243">
        <f>SP64!AT83</f>
        <v>0</v>
      </c>
    </row>
    <row r="82" spans="1:13" ht="12.75">
      <c r="A82" t="str">
        <f>$A$81</f>
        <v>VR3</v>
      </c>
      <c r="B82">
        <f>SP64!C84</f>
        <v>82</v>
      </c>
      <c r="C82" t="e">
        <f>IF((SP64!D84)="Freilos",0,VLOOKUP(SP64!D84,'BA-Teilnehmer'!$G$6:$J$69,4,FALSE))</f>
        <v>#N/A</v>
      </c>
      <c r="D82" t="e">
        <f>IF((SP64!E84)="Freilos",0,VLOOKUP(SP64!E84,'BA-Teilnehmer'!$G$6:$J$69,4,FALSE))</f>
        <v>#N/A</v>
      </c>
      <c r="E82">
        <f>SP64!F84</f>
        <v>0</v>
      </c>
      <c r="F82">
        <f>SP64!G84</f>
        <v>0</v>
      </c>
      <c r="G82">
        <f>SP64!H84</f>
        <v>0</v>
      </c>
      <c r="H82">
        <f>SP64!I84</f>
        <v>0</v>
      </c>
      <c r="I82">
        <f>SP64!J84</f>
        <v>0</v>
      </c>
      <c r="J82">
        <f>SP64!K84</f>
        <v>0</v>
      </c>
      <c r="K82">
        <f>SP64!L84</f>
        <v>0</v>
      </c>
      <c r="L82" s="243">
        <f>SP64!AS84</f>
        <v>0</v>
      </c>
      <c r="M82" s="243">
        <f>SP64!AT84</f>
        <v>0</v>
      </c>
    </row>
    <row r="83" spans="1:13" ht="12.75">
      <c r="A83" t="str">
        <f aca="true" t="shared" si="4" ref="A83:A88">$A$81</f>
        <v>VR3</v>
      </c>
      <c r="B83">
        <f>SP64!C85</f>
        <v>83</v>
      </c>
      <c r="C83" t="e">
        <f>IF((SP64!D85)="Freilos",0,VLOOKUP(SP64!D85,'BA-Teilnehmer'!$G$6:$J$69,4,FALSE))</f>
        <v>#N/A</v>
      </c>
      <c r="D83" t="e">
        <f>IF((SP64!E85)="Freilos",0,VLOOKUP(SP64!E85,'BA-Teilnehmer'!$G$6:$J$69,4,FALSE))</f>
        <v>#N/A</v>
      </c>
      <c r="E83">
        <f>SP64!F85</f>
        <v>0</v>
      </c>
      <c r="F83">
        <f>SP64!G85</f>
        <v>0</v>
      </c>
      <c r="G83">
        <f>SP64!H85</f>
        <v>0</v>
      </c>
      <c r="H83">
        <f>SP64!I85</f>
        <v>0</v>
      </c>
      <c r="I83">
        <f>SP64!J85</f>
        <v>0</v>
      </c>
      <c r="J83">
        <f>SP64!K85</f>
        <v>0</v>
      </c>
      <c r="K83">
        <f>SP64!L85</f>
        <v>0</v>
      </c>
      <c r="L83" s="243">
        <f>SP64!AS85</f>
        <v>0</v>
      </c>
      <c r="M83" s="243">
        <f>SP64!AT85</f>
        <v>0</v>
      </c>
    </row>
    <row r="84" spans="1:13" ht="12.75">
      <c r="A84" t="str">
        <f t="shared" si="4"/>
        <v>VR3</v>
      </c>
      <c r="B84">
        <f>SP64!C86</f>
        <v>84</v>
      </c>
      <c r="C84" t="e">
        <f>IF((SP64!D86)="Freilos",0,VLOOKUP(SP64!D86,'BA-Teilnehmer'!$G$6:$J$69,4,FALSE))</f>
        <v>#N/A</v>
      </c>
      <c r="D84" t="e">
        <f>IF((SP64!E86)="Freilos",0,VLOOKUP(SP64!E86,'BA-Teilnehmer'!$G$6:$J$69,4,FALSE))</f>
        <v>#N/A</v>
      </c>
      <c r="E84">
        <f>SP64!F86</f>
        <v>0</v>
      </c>
      <c r="F84">
        <f>SP64!G86</f>
        <v>0</v>
      </c>
      <c r="G84">
        <f>SP64!H86</f>
        <v>0</v>
      </c>
      <c r="H84">
        <f>SP64!I86</f>
        <v>0</v>
      </c>
      <c r="I84">
        <f>SP64!J86</f>
        <v>0</v>
      </c>
      <c r="J84">
        <f>SP64!K86</f>
        <v>0</v>
      </c>
      <c r="K84">
        <f>SP64!L86</f>
        <v>0</v>
      </c>
      <c r="L84" s="243">
        <f>SP64!AS86</f>
        <v>0</v>
      </c>
      <c r="M84" s="243">
        <f>SP64!AT86</f>
        <v>0</v>
      </c>
    </row>
    <row r="85" spans="1:13" ht="12.75">
      <c r="A85" t="str">
        <f t="shared" si="4"/>
        <v>VR3</v>
      </c>
      <c r="B85">
        <f>SP64!C87</f>
        <v>85</v>
      </c>
      <c r="C85" t="e">
        <f>IF((SP64!D87)="Freilos",0,VLOOKUP(SP64!D87,'BA-Teilnehmer'!$G$6:$J$69,4,FALSE))</f>
        <v>#N/A</v>
      </c>
      <c r="D85" t="e">
        <f>IF((SP64!E87)="Freilos",0,VLOOKUP(SP64!E87,'BA-Teilnehmer'!$G$6:$J$69,4,FALSE))</f>
        <v>#N/A</v>
      </c>
      <c r="E85">
        <f>SP64!F87</f>
        <v>0</v>
      </c>
      <c r="F85">
        <f>SP64!G87</f>
        <v>0</v>
      </c>
      <c r="G85">
        <f>SP64!H87</f>
        <v>0</v>
      </c>
      <c r="H85">
        <f>SP64!I87</f>
        <v>0</v>
      </c>
      <c r="I85">
        <f>SP64!J87</f>
        <v>0</v>
      </c>
      <c r="J85">
        <f>SP64!K87</f>
        <v>0</v>
      </c>
      <c r="K85">
        <f>SP64!L87</f>
        <v>0</v>
      </c>
      <c r="L85" s="243">
        <f>SP64!AS87</f>
        <v>0</v>
      </c>
      <c r="M85" s="243">
        <f>SP64!AT87</f>
        <v>0</v>
      </c>
    </row>
    <row r="86" spans="1:13" ht="12.75">
      <c r="A86" t="str">
        <f t="shared" si="4"/>
        <v>VR3</v>
      </c>
      <c r="B86">
        <f>SP64!C88</f>
        <v>86</v>
      </c>
      <c r="C86" t="e">
        <f>IF((SP64!D88)="Freilos",0,VLOOKUP(SP64!D88,'BA-Teilnehmer'!$G$6:$J$69,4,FALSE))</f>
        <v>#N/A</v>
      </c>
      <c r="D86" t="e">
        <f>IF((SP64!E88)="Freilos",0,VLOOKUP(SP64!E88,'BA-Teilnehmer'!$G$6:$J$69,4,FALSE))</f>
        <v>#N/A</v>
      </c>
      <c r="E86">
        <f>SP64!F88</f>
        <v>0</v>
      </c>
      <c r="F86">
        <f>SP64!G88</f>
        <v>0</v>
      </c>
      <c r="G86">
        <f>SP64!H88</f>
        <v>0</v>
      </c>
      <c r="H86">
        <f>SP64!I88</f>
        <v>0</v>
      </c>
      <c r="I86">
        <f>SP64!J88</f>
        <v>0</v>
      </c>
      <c r="J86">
        <f>SP64!K88</f>
        <v>0</v>
      </c>
      <c r="K86">
        <f>SP64!L88</f>
        <v>0</v>
      </c>
      <c r="L86" s="243">
        <f>SP64!AS88</f>
        <v>0</v>
      </c>
      <c r="M86" s="243">
        <f>SP64!AT88</f>
        <v>0</v>
      </c>
    </row>
    <row r="87" spans="1:13" ht="12.75">
      <c r="A87" t="str">
        <f t="shared" si="4"/>
        <v>VR3</v>
      </c>
      <c r="B87">
        <f>SP64!C89</f>
        <v>87</v>
      </c>
      <c r="C87" t="e">
        <f>IF((SP64!D89)="Freilos",0,VLOOKUP(SP64!D89,'BA-Teilnehmer'!$G$6:$J$69,4,FALSE))</f>
        <v>#N/A</v>
      </c>
      <c r="D87" t="e">
        <f>IF((SP64!E89)="Freilos",0,VLOOKUP(SP64!E89,'BA-Teilnehmer'!$G$6:$J$69,4,FALSE))</f>
        <v>#N/A</v>
      </c>
      <c r="E87">
        <f>SP64!F89</f>
        <v>0</v>
      </c>
      <c r="F87">
        <f>SP64!G89</f>
        <v>0</v>
      </c>
      <c r="G87">
        <f>SP64!H89</f>
        <v>0</v>
      </c>
      <c r="H87">
        <f>SP64!I89</f>
        <v>0</v>
      </c>
      <c r="I87">
        <f>SP64!J89</f>
        <v>0</v>
      </c>
      <c r="J87">
        <f>SP64!K89</f>
        <v>0</v>
      </c>
      <c r="K87">
        <f>SP64!L89</f>
        <v>0</v>
      </c>
      <c r="L87" s="243">
        <f>SP64!AS89</f>
        <v>0</v>
      </c>
      <c r="M87" s="243">
        <f>SP64!AT89</f>
        <v>0</v>
      </c>
    </row>
    <row r="88" spans="1:13" ht="12.75">
      <c r="A88" t="str">
        <f t="shared" si="4"/>
        <v>VR3</v>
      </c>
      <c r="B88">
        <f>SP64!C90</f>
        <v>88</v>
      </c>
      <c r="C88" t="e">
        <f>IF((SP64!D90)="Freilos",0,VLOOKUP(SP64!D90,'BA-Teilnehmer'!$G$6:$J$69,4,FALSE))</f>
        <v>#N/A</v>
      </c>
      <c r="D88" t="e">
        <f>IF((SP64!E90)="Freilos",0,VLOOKUP(SP64!E90,'BA-Teilnehmer'!$G$6:$J$69,4,FALSE))</f>
        <v>#N/A</v>
      </c>
      <c r="E88">
        <f>SP64!F90</f>
        <v>0</v>
      </c>
      <c r="F88">
        <f>SP64!G90</f>
        <v>0</v>
      </c>
      <c r="G88">
        <f>SP64!H90</f>
        <v>0</v>
      </c>
      <c r="H88">
        <f>SP64!I90</f>
        <v>0</v>
      </c>
      <c r="I88">
        <f>SP64!J90</f>
        <v>0</v>
      </c>
      <c r="J88">
        <f>SP64!K90</f>
        <v>0</v>
      </c>
      <c r="K88">
        <f>SP64!L90</f>
        <v>0</v>
      </c>
      <c r="L88" s="243">
        <f>SP64!AS90</f>
        <v>0</v>
      </c>
      <c r="M88" s="243">
        <f>SP64!AT90</f>
        <v>0</v>
      </c>
    </row>
    <row r="89" spans="1:13" ht="12.75">
      <c r="A89" t="str">
        <f>SP64!B91</f>
        <v>GR2</v>
      </c>
      <c r="B89">
        <f>SP64!C91</f>
        <v>89</v>
      </c>
      <c r="C89" t="e">
        <f>IF((SP64!D91)="Freilos",0,VLOOKUP(SP64!D91,'BA-Teilnehmer'!$G$6:$J$69,4,FALSE))</f>
        <v>#N/A</v>
      </c>
      <c r="D89" t="e">
        <f>IF((SP64!E91)="Freilos",0,VLOOKUP(SP64!E91,'BA-Teilnehmer'!$G$6:$J$69,4,FALSE))</f>
        <v>#N/A</v>
      </c>
      <c r="E89">
        <f>SP64!F91</f>
        <v>0</v>
      </c>
      <c r="F89">
        <f>SP64!G91</f>
        <v>0</v>
      </c>
      <c r="G89">
        <f>SP64!H91</f>
        <v>0</v>
      </c>
      <c r="H89">
        <f>SP64!I91</f>
        <v>0</v>
      </c>
      <c r="I89">
        <f>SP64!J91</f>
        <v>0</v>
      </c>
      <c r="J89">
        <f>SP64!K91</f>
        <v>0</v>
      </c>
      <c r="K89">
        <f>SP64!L91</f>
        <v>0</v>
      </c>
      <c r="L89" s="243">
        <f>SP64!AS91</f>
        <v>0</v>
      </c>
      <c r="M89" s="243">
        <f>SP64!AT91</f>
        <v>0</v>
      </c>
    </row>
    <row r="90" spans="1:13" ht="12.75">
      <c r="A90" t="str">
        <f>$A$89</f>
        <v>GR2</v>
      </c>
      <c r="B90">
        <f>SP64!C92</f>
        <v>90</v>
      </c>
      <c r="C90" t="e">
        <f>IF((SP64!D92)="Freilos",0,VLOOKUP(SP64!D92,'BA-Teilnehmer'!$G$6:$J$69,4,FALSE))</f>
        <v>#N/A</v>
      </c>
      <c r="D90" t="e">
        <f>IF((SP64!E92)="Freilos",0,VLOOKUP(SP64!E92,'BA-Teilnehmer'!$G$6:$J$69,4,FALSE))</f>
        <v>#N/A</v>
      </c>
      <c r="E90">
        <f>SP64!F92</f>
        <v>0</v>
      </c>
      <c r="F90">
        <f>SP64!G92</f>
        <v>0</v>
      </c>
      <c r="G90">
        <f>SP64!H92</f>
        <v>0</v>
      </c>
      <c r="H90">
        <f>SP64!I92</f>
        <v>0</v>
      </c>
      <c r="I90">
        <f>SP64!J92</f>
        <v>0</v>
      </c>
      <c r="J90">
        <f>SP64!K92</f>
        <v>0</v>
      </c>
      <c r="K90">
        <f>SP64!L92</f>
        <v>0</v>
      </c>
      <c r="L90" s="243">
        <f>SP64!AS92</f>
        <v>0</v>
      </c>
      <c r="M90" s="243">
        <f>SP64!AT92</f>
        <v>0</v>
      </c>
    </row>
    <row r="91" spans="1:13" ht="12.75">
      <c r="A91" t="str">
        <f aca="true" t="shared" si="5" ref="A91:A96">$A$89</f>
        <v>GR2</v>
      </c>
      <c r="B91">
        <f>SP64!C93</f>
        <v>91</v>
      </c>
      <c r="C91" t="e">
        <f>IF((SP64!D93)="Freilos",0,VLOOKUP(SP64!D93,'BA-Teilnehmer'!$G$6:$J$69,4,FALSE))</f>
        <v>#N/A</v>
      </c>
      <c r="D91" t="e">
        <f>IF((SP64!E93)="Freilos",0,VLOOKUP(SP64!E93,'BA-Teilnehmer'!$G$6:$J$69,4,FALSE))</f>
        <v>#N/A</v>
      </c>
      <c r="E91">
        <f>SP64!F93</f>
        <v>0</v>
      </c>
      <c r="F91">
        <f>SP64!G93</f>
        <v>0</v>
      </c>
      <c r="G91">
        <f>SP64!H93</f>
        <v>0</v>
      </c>
      <c r="H91">
        <f>SP64!I93</f>
        <v>0</v>
      </c>
      <c r="I91">
        <f>SP64!J93</f>
        <v>0</v>
      </c>
      <c r="J91">
        <f>SP64!K93</f>
        <v>0</v>
      </c>
      <c r="K91">
        <f>SP64!L93</f>
        <v>0</v>
      </c>
      <c r="L91" s="243">
        <f>SP64!AS93</f>
        <v>0</v>
      </c>
      <c r="M91" s="243">
        <f>SP64!AT93</f>
        <v>0</v>
      </c>
    </row>
    <row r="92" spans="1:13" ht="12.75">
      <c r="A92" t="str">
        <f t="shared" si="5"/>
        <v>GR2</v>
      </c>
      <c r="B92">
        <f>SP64!C94</f>
        <v>92</v>
      </c>
      <c r="C92" t="e">
        <f>IF((SP64!D94)="Freilos",0,VLOOKUP(SP64!D94,'BA-Teilnehmer'!$G$6:$J$69,4,FALSE))</f>
        <v>#N/A</v>
      </c>
      <c r="D92" t="e">
        <f>IF((SP64!E94)="Freilos",0,VLOOKUP(SP64!E94,'BA-Teilnehmer'!$G$6:$J$69,4,FALSE))</f>
        <v>#N/A</v>
      </c>
      <c r="E92">
        <f>SP64!F94</f>
        <v>0</v>
      </c>
      <c r="F92">
        <f>SP64!G94</f>
        <v>0</v>
      </c>
      <c r="G92">
        <f>SP64!H94</f>
        <v>0</v>
      </c>
      <c r="H92">
        <f>SP64!I94</f>
        <v>0</v>
      </c>
      <c r="I92">
        <f>SP64!J94</f>
        <v>0</v>
      </c>
      <c r="J92">
        <f>SP64!K94</f>
        <v>0</v>
      </c>
      <c r="K92">
        <f>SP64!L94</f>
        <v>0</v>
      </c>
      <c r="L92" s="243">
        <f>SP64!AS94</f>
        <v>0</v>
      </c>
      <c r="M92" s="243">
        <f>SP64!AT94</f>
        <v>0</v>
      </c>
    </row>
    <row r="93" spans="1:13" ht="12.75">
      <c r="A93" t="str">
        <f t="shared" si="5"/>
        <v>GR2</v>
      </c>
      <c r="B93">
        <f>SP64!C95</f>
        <v>93</v>
      </c>
      <c r="C93" t="e">
        <f>IF((SP64!D95)="Freilos",0,VLOOKUP(SP64!D95,'BA-Teilnehmer'!$G$6:$J$69,4,FALSE))</f>
        <v>#N/A</v>
      </c>
      <c r="D93" t="e">
        <f>IF((SP64!E95)="Freilos",0,VLOOKUP(SP64!E95,'BA-Teilnehmer'!$G$6:$J$69,4,FALSE))</f>
        <v>#N/A</v>
      </c>
      <c r="E93">
        <f>SP64!F95</f>
        <v>0</v>
      </c>
      <c r="F93">
        <f>SP64!G95</f>
        <v>0</v>
      </c>
      <c r="G93">
        <f>SP64!H95</f>
        <v>0</v>
      </c>
      <c r="H93">
        <f>SP64!I95</f>
        <v>0</v>
      </c>
      <c r="I93">
        <f>SP64!J95</f>
        <v>0</v>
      </c>
      <c r="J93">
        <f>SP64!K95</f>
        <v>0</v>
      </c>
      <c r="K93">
        <f>SP64!L95</f>
        <v>0</v>
      </c>
      <c r="L93" s="243">
        <f>SP64!AS95</f>
        <v>0</v>
      </c>
      <c r="M93" s="243">
        <f>SP64!AT95</f>
        <v>0</v>
      </c>
    </row>
    <row r="94" spans="1:13" ht="12.75">
      <c r="A94" t="str">
        <f t="shared" si="5"/>
        <v>GR2</v>
      </c>
      <c r="B94">
        <f>SP64!C96</f>
        <v>94</v>
      </c>
      <c r="C94" t="e">
        <f>IF((SP64!D96)="Freilos",0,VLOOKUP(SP64!D96,'BA-Teilnehmer'!$G$6:$J$69,4,FALSE))</f>
        <v>#N/A</v>
      </c>
      <c r="D94" t="e">
        <f>IF((SP64!E96)="Freilos",0,VLOOKUP(SP64!E96,'BA-Teilnehmer'!$G$6:$J$69,4,FALSE))</f>
        <v>#N/A</v>
      </c>
      <c r="E94">
        <f>SP64!F96</f>
        <v>0</v>
      </c>
      <c r="F94">
        <f>SP64!G96</f>
        <v>0</v>
      </c>
      <c r="G94">
        <f>SP64!H96</f>
        <v>0</v>
      </c>
      <c r="H94">
        <f>SP64!I96</f>
        <v>0</v>
      </c>
      <c r="I94">
        <f>SP64!J96</f>
        <v>0</v>
      </c>
      <c r="J94">
        <f>SP64!K96</f>
        <v>0</v>
      </c>
      <c r="K94">
        <f>SP64!L96</f>
        <v>0</v>
      </c>
      <c r="L94" s="243">
        <f>SP64!AS96</f>
        <v>0</v>
      </c>
      <c r="M94" s="243">
        <f>SP64!AT96</f>
        <v>0</v>
      </c>
    </row>
    <row r="95" spans="1:13" ht="12.75">
      <c r="A95" t="str">
        <f t="shared" si="5"/>
        <v>GR2</v>
      </c>
      <c r="B95">
        <f>SP64!C97</f>
        <v>95</v>
      </c>
      <c r="C95" t="e">
        <f>IF((SP64!D97)="Freilos",0,VLOOKUP(SP64!D97,'BA-Teilnehmer'!$G$6:$J$69,4,FALSE))</f>
        <v>#N/A</v>
      </c>
      <c r="D95" t="e">
        <f>IF((SP64!E97)="Freilos",0,VLOOKUP(SP64!E97,'BA-Teilnehmer'!$G$6:$J$69,4,FALSE))</f>
        <v>#N/A</v>
      </c>
      <c r="E95">
        <f>SP64!F97</f>
        <v>0</v>
      </c>
      <c r="F95">
        <f>SP64!G97</f>
        <v>0</v>
      </c>
      <c r="G95">
        <f>SP64!H97</f>
        <v>0</v>
      </c>
      <c r="H95">
        <f>SP64!I97</f>
        <v>0</v>
      </c>
      <c r="I95">
        <f>SP64!J97</f>
        <v>0</v>
      </c>
      <c r="J95">
        <f>SP64!K97</f>
        <v>0</v>
      </c>
      <c r="K95">
        <f>SP64!L97</f>
        <v>0</v>
      </c>
      <c r="L95" s="243">
        <f>SP64!AS97</f>
        <v>0</v>
      </c>
      <c r="M95" s="243">
        <f>SP64!AT97</f>
        <v>0</v>
      </c>
    </row>
    <row r="96" spans="1:13" ht="12.75">
      <c r="A96" t="str">
        <f t="shared" si="5"/>
        <v>GR2</v>
      </c>
      <c r="B96">
        <f>SP64!C98</f>
        <v>96</v>
      </c>
      <c r="C96" t="e">
        <f>IF((SP64!D98)="Freilos",0,VLOOKUP(SP64!D98,'BA-Teilnehmer'!$G$6:$J$69,4,FALSE))</f>
        <v>#N/A</v>
      </c>
      <c r="D96" t="e">
        <f>IF((SP64!E98)="Freilos",0,VLOOKUP(SP64!E98,'BA-Teilnehmer'!$G$6:$J$69,4,FALSE))</f>
        <v>#N/A</v>
      </c>
      <c r="E96">
        <f>SP64!F98</f>
        <v>0</v>
      </c>
      <c r="F96">
        <f>SP64!G98</f>
        <v>0</v>
      </c>
      <c r="G96">
        <f>SP64!H98</f>
        <v>0</v>
      </c>
      <c r="H96">
        <f>SP64!I98</f>
        <v>0</v>
      </c>
      <c r="I96">
        <f>SP64!J98</f>
        <v>0</v>
      </c>
      <c r="J96">
        <f>SP64!K98</f>
        <v>0</v>
      </c>
      <c r="K96">
        <f>SP64!L98</f>
        <v>0</v>
      </c>
      <c r="L96" s="243">
        <f>SP64!AS98</f>
        <v>0</v>
      </c>
      <c r="M96" s="243">
        <f>SP64!AT98</f>
        <v>0</v>
      </c>
    </row>
    <row r="97" spans="1:13" ht="12.75">
      <c r="A97" t="str">
        <f>SP64!B99</f>
        <v>VR4</v>
      </c>
      <c r="B97">
        <f>SP64!C99</f>
        <v>97</v>
      </c>
      <c r="C97" t="e">
        <f>IF((SP64!D99)="Freilos",0,VLOOKUP(SP64!D99,'BA-Teilnehmer'!$G$6:$J$69,4,FALSE))</f>
        <v>#N/A</v>
      </c>
      <c r="D97" t="e">
        <f>IF((SP64!E99)="Freilos",0,VLOOKUP(SP64!E99,'BA-Teilnehmer'!$G$6:$J$69,4,FALSE))</f>
        <v>#N/A</v>
      </c>
      <c r="E97">
        <f>SP64!F99</f>
        <v>0</v>
      </c>
      <c r="F97">
        <f>SP64!G99</f>
        <v>0</v>
      </c>
      <c r="G97">
        <f>SP64!H99</f>
        <v>0</v>
      </c>
      <c r="H97">
        <f>SP64!I99</f>
        <v>0</v>
      </c>
      <c r="I97">
        <f>SP64!J99</f>
        <v>0</v>
      </c>
      <c r="J97">
        <f>SP64!K99</f>
        <v>0</v>
      </c>
      <c r="K97">
        <f>SP64!L99</f>
        <v>0</v>
      </c>
      <c r="L97" s="243">
        <f>SP64!AS99</f>
        <v>0</v>
      </c>
      <c r="M97" s="243">
        <f>SP64!AT99</f>
        <v>0</v>
      </c>
    </row>
    <row r="98" spans="1:13" ht="12.75">
      <c r="A98" t="str">
        <f>$A$97</f>
        <v>VR4</v>
      </c>
      <c r="B98">
        <f>SP64!C100</f>
        <v>98</v>
      </c>
      <c r="C98" t="e">
        <f>IF((SP64!D100)="Freilos",0,VLOOKUP(SP64!D100,'BA-Teilnehmer'!$G$6:$J$69,4,FALSE))</f>
        <v>#N/A</v>
      </c>
      <c r="D98" t="e">
        <f>IF((SP64!E100)="Freilos",0,VLOOKUP(SP64!E100,'BA-Teilnehmer'!$G$6:$J$69,4,FALSE))</f>
        <v>#N/A</v>
      </c>
      <c r="E98">
        <f>SP64!F100</f>
        <v>0</v>
      </c>
      <c r="F98">
        <f>SP64!G100</f>
        <v>0</v>
      </c>
      <c r="G98">
        <f>SP64!H100</f>
        <v>0</v>
      </c>
      <c r="H98">
        <f>SP64!I100</f>
        <v>0</v>
      </c>
      <c r="I98">
        <f>SP64!J100</f>
        <v>0</v>
      </c>
      <c r="J98">
        <f>SP64!K100</f>
        <v>0</v>
      </c>
      <c r="K98">
        <f>SP64!L100</f>
        <v>0</v>
      </c>
      <c r="L98" s="243">
        <f>SP64!AS100</f>
        <v>0</v>
      </c>
      <c r="M98" s="243">
        <f>SP64!AT100</f>
        <v>0</v>
      </c>
    </row>
    <row r="99" spans="1:13" ht="12.75">
      <c r="A99" t="str">
        <f aca="true" t="shared" si="6" ref="A99:A104">$A$97</f>
        <v>VR4</v>
      </c>
      <c r="B99">
        <f>SP64!C101</f>
        <v>99</v>
      </c>
      <c r="C99" t="e">
        <f>IF((SP64!D101)="Freilos",0,VLOOKUP(SP64!D101,'BA-Teilnehmer'!$G$6:$J$69,4,FALSE))</f>
        <v>#N/A</v>
      </c>
      <c r="D99" t="e">
        <f>IF((SP64!E101)="Freilos",0,VLOOKUP(SP64!E101,'BA-Teilnehmer'!$G$6:$J$69,4,FALSE))</f>
        <v>#N/A</v>
      </c>
      <c r="E99">
        <f>SP64!F101</f>
        <v>0</v>
      </c>
      <c r="F99">
        <f>SP64!G101</f>
        <v>0</v>
      </c>
      <c r="G99">
        <f>SP64!H101</f>
        <v>0</v>
      </c>
      <c r="H99">
        <f>SP64!I101</f>
        <v>0</v>
      </c>
      <c r="I99">
        <f>SP64!J101</f>
        <v>0</v>
      </c>
      <c r="J99">
        <f>SP64!K101</f>
        <v>0</v>
      </c>
      <c r="K99">
        <f>SP64!L101</f>
        <v>0</v>
      </c>
      <c r="L99" s="243">
        <f>SP64!AS101</f>
        <v>0</v>
      </c>
      <c r="M99" s="243">
        <f>SP64!AT101</f>
        <v>0</v>
      </c>
    </row>
    <row r="100" spans="1:13" ht="12.75">
      <c r="A100" t="str">
        <f t="shared" si="6"/>
        <v>VR4</v>
      </c>
      <c r="B100">
        <f>SP64!C102</f>
        <v>100</v>
      </c>
      <c r="C100" t="e">
        <f>IF((SP64!D102)="Freilos",0,VLOOKUP(SP64!D102,'BA-Teilnehmer'!$G$6:$J$69,4,FALSE))</f>
        <v>#N/A</v>
      </c>
      <c r="D100" t="e">
        <f>IF((SP64!E102)="Freilos",0,VLOOKUP(SP64!E102,'BA-Teilnehmer'!$G$6:$J$69,4,FALSE))</f>
        <v>#N/A</v>
      </c>
      <c r="E100">
        <f>SP64!F102</f>
        <v>0</v>
      </c>
      <c r="F100">
        <f>SP64!G102</f>
        <v>0</v>
      </c>
      <c r="G100">
        <f>SP64!H102</f>
        <v>0</v>
      </c>
      <c r="H100">
        <f>SP64!I102</f>
        <v>0</v>
      </c>
      <c r="I100">
        <f>SP64!J102</f>
        <v>0</v>
      </c>
      <c r="J100">
        <f>SP64!K102</f>
        <v>0</v>
      </c>
      <c r="K100">
        <f>SP64!L102</f>
        <v>0</v>
      </c>
      <c r="L100" s="243">
        <f>SP64!AS102</f>
        <v>0</v>
      </c>
      <c r="M100" s="243">
        <f>SP64!AT102</f>
        <v>0</v>
      </c>
    </row>
    <row r="101" spans="1:13" ht="12.75">
      <c r="A101" t="str">
        <f t="shared" si="6"/>
        <v>VR4</v>
      </c>
      <c r="B101">
        <f>SP64!C103</f>
        <v>101</v>
      </c>
      <c r="C101" t="e">
        <f>IF((SP64!D103)="Freilos",0,VLOOKUP(SP64!D103,'BA-Teilnehmer'!$G$6:$J$69,4,FALSE))</f>
        <v>#N/A</v>
      </c>
      <c r="D101" t="e">
        <f>IF((SP64!E103)="Freilos",0,VLOOKUP(SP64!E103,'BA-Teilnehmer'!$G$6:$J$69,4,FALSE))</f>
        <v>#N/A</v>
      </c>
      <c r="E101">
        <f>SP64!F103</f>
        <v>0</v>
      </c>
      <c r="F101">
        <f>SP64!G103</f>
        <v>0</v>
      </c>
      <c r="G101">
        <f>SP64!H103</f>
        <v>0</v>
      </c>
      <c r="H101">
        <f>SP64!I103</f>
        <v>0</v>
      </c>
      <c r="I101">
        <f>SP64!J103</f>
        <v>0</v>
      </c>
      <c r="J101">
        <f>SP64!K103</f>
        <v>0</v>
      </c>
      <c r="K101">
        <f>SP64!L103</f>
        <v>0</v>
      </c>
      <c r="L101" s="243">
        <f>SP64!AS103</f>
        <v>0</v>
      </c>
      <c r="M101" s="243">
        <f>SP64!AT103</f>
        <v>0</v>
      </c>
    </row>
    <row r="102" spans="1:13" ht="12.75">
      <c r="A102" t="str">
        <f t="shared" si="6"/>
        <v>VR4</v>
      </c>
      <c r="B102">
        <f>SP64!C104</f>
        <v>102</v>
      </c>
      <c r="C102" t="e">
        <f>IF((SP64!D104)="Freilos",0,VLOOKUP(SP64!D104,'BA-Teilnehmer'!$G$6:$J$69,4,FALSE))</f>
        <v>#N/A</v>
      </c>
      <c r="D102" t="e">
        <f>IF((SP64!E104)="Freilos",0,VLOOKUP(SP64!E104,'BA-Teilnehmer'!$G$6:$J$69,4,FALSE))</f>
        <v>#N/A</v>
      </c>
      <c r="E102">
        <f>SP64!F104</f>
        <v>0</v>
      </c>
      <c r="F102">
        <f>SP64!G104</f>
        <v>0</v>
      </c>
      <c r="G102">
        <f>SP64!H104</f>
        <v>0</v>
      </c>
      <c r="H102">
        <f>SP64!I104</f>
        <v>0</v>
      </c>
      <c r="I102">
        <f>SP64!J104</f>
        <v>0</v>
      </c>
      <c r="J102">
        <f>SP64!K104</f>
        <v>0</v>
      </c>
      <c r="K102">
        <f>SP64!L104</f>
        <v>0</v>
      </c>
      <c r="L102" s="243">
        <f>SP64!AS104</f>
        <v>0</v>
      </c>
      <c r="M102" s="243">
        <f>SP64!AT104</f>
        <v>0</v>
      </c>
    </row>
    <row r="103" spans="1:13" ht="12.75">
      <c r="A103" t="str">
        <f t="shared" si="6"/>
        <v>VR4</v>
      </c>
      <c r="B103">
        <f>SP64!C105</f>
        <v>103</v>
      </c>
      <c r="C103" t="e">
        <f>IF((SP64!D105)="Freilos",0,VLOOKUP(SP64!D105,'BA-Teilnehmer'!$G$6:$J$69,4,FALSE))</f>
        <v>#N/A</v>
      </c>
      <c r="D103" t="e">
        <f>IF((SP64!E105)="Freilos",0,VLOOKUP(SP64!E105,'BA-Teilnehmer'!$G$6:$J$69,4,FALSE))</f>
        <v>#N/A</v>
      </c>
      <c r="E103">
        <f>SP64!F105</f>
        <v>0</v>
      </c>
      <c r="F103">
        <f>SP64!G105</f>
        <v>0</v>
      </c>
      <c r="G103">
        <f>SP64!H105</f>
        <v>0</v>
      </c>
      <c r="H103">
        <f>SP64!I105</f>
        <v>0</v>
      </c>
      <c r="I103">
        <f>SP64!J105</f>
        <v>0</v>
      </c>
      <c r="J103">
        <f>SP64!K105</f>
        <v>0</v>
      </c>
      <c r="K103">
        <f>SP64!L105</f>
        <v>0</v>
      </c>
      <c r="L103" s="243">
        <f>SP64!AS105</f>
        <v>0</v>
      </c>
      <c r="M103" s="243">
        <f>SP64!AT105</f>
        <v>0</v>
      </c>
    </row>
    <row r="104" spans="1:13" ht="12.75">
      <c r="A104" t="str">
        <f t="shared" si="6"/>
        <v>VR4</v>
      </c>
      <c r="B104">
        <f>SP64!C106</f>
        <v>104</v>
      </c>
      <c r="C104" t="e">
        <f>IF((SP64!D106)="Freilos",0,VLOOKUP(SP64!D106,'BA-Teilnehmer'!$G$6:$J$69,4,FALSE))</f>
        <v>#N/A</v>
      </c>
      <c r="D104" t="e">
        <f>IF((SP64!E106)="Freilos",0,VLOOKUP(SP64!E106,'BA-Teilnehmer'!$G$6:$J$69,4,FALSE))</f>
        <v>#N/A</v>
      </c>
      <c r="E104">
        <f>SP64!F106</f>
        <v>0</v>
      </c>
      <c r="F104">
        <f>SP64!G106</f>
        <v>0</v>
      </c>
      <c r="G104">
        <f>SP64!H106</f>
        <v>0</v>
      </c>
      <c r="H104">
        <f>SP64!I106</f>
        <v>0</v>
      </c>
      <c r="I104">
        <f>SP64!J106</f>
        <v>0</v>
      </c>
      <c r="J104">
        <f>SP64!K106</f>
        <v>0</v>
      </c>
      <c r="K104">
        <f>SP64!L106</f>
        <v>0</v>
      </c>
      <c r="L104" s="243">
        <f>SP64!AS106</f>
        <v>0</v>
      </c>
      <c r="M104" s="243">
        <f>SP64!AT106</f>
        <v>0</v>
      </c>
    </row>
    <row r="105" spans="1:13" ht="12.75">
      <c r="A105" t="str">
        <f>SP64!B107</f>
        <v>VR5</v>
      </c>
      <c r="B105">
        <f>SP64!C107</f>
        <v>105</v>
      </c>
      <c r="C105" t="e">
        <f>IF((SP64!D107)="Freilos",0,VLOOKUP(SP64!D107,'BA-Teilnehmer'!$G$6:$J$69,4,FALSE))</f>
        <v>#N/A</v>
      </c>
      <c r="D105" t="e">
        <f>IF((SP64!E107)="Freilos",0,VLOOKUP(SP64!E107,'BA-Teilnehmer'!$G$6:$J$69,4,FALSE))</f>
        <v>#N/A</v>
      </c>
      <c r="E105">
        <f>SP64!F107</f>
        <v>0</v>
      </c>
      <c r="F105">
        <f>SP64!G107</f>
        <v>0</v>
      </c>
      <c r="G105">
        <f>SP64!H107</f>
        <v>0</v>
      </c>
      <c r="H105">
        <f>SP64!I107</f>
        <v>0</v>
      </c>
      <c r="I105">
        <f>SP64!J107</f>
        <v>0</v>
      </c>
      <c r="J105">
        <f>SP64!K107</f>
        <v>0</v>
      </c>
      <c r="K105">
        <f>SP64!L107</f>
        <v>0</v>
      </c>
      <c r="L105" s="243">
        <f>SP64!AS107</f>
        <v>0</v>
      </c>
      <c r="M105" s="243">
        <f>SP64!AT107</f>
        <v>0</v>
      </c>
    </row>
    <row r="106" spans="1:13" ht="12.75">
      <c r="A106" t="str">
        <f>$A$105</f>
        <v>VR5</v>
      </c>
      <c r="B106">
        <f>SP64!C108</f>
        <v>106</v>
      </c>
      <c r="C106" t="e">
        <f>IF((SP64!D108)="Freilos",0,VLOOKUP(SP64!D108,'BA-Teilnehmer'!$G$6:$J$69,4,FALSE))</f>
        <v>#N/A</v>
      </c>
      <c r="D106" t="e">
        <f>IF((SP64!E108)="Freilos",0,VLOOKUP(SP64!E108,'BA-Teilnehmer'!$G$6:$J$69,4,FALSE))</f>
        <v>#N/A</v>
      </c>
      <c r="E106">
        <f>SP64!F108</f>
        <v>0</v>
      </c>
      <c r="F106">
        <f>SP64!G108</f>
        <v>0</v>
      </c>
      <c r="G106">
        <f>SP64!H108</f>
        <v>0</v>
      </c>
      <c r="H106">
        <f>SP64!I108</f>
        <v>0</v>
      </c>
      <c r="I106">
        <f>SP64!J108</f>
        <v>0</v>
      </c>
      <c r="J106">
        <f>SP64!K108</f>
        <v>0</v>
      </c>
      <c r="K106">
        <f>SP64!L108</f>
        <v>0</v>
      </c>
      <c r="L106" s="243">
        <f>SP64!AS108</f>
        <v>0</v>
      </c>
      <c r="M106" s="243">
        <f>SP64!AT108</f>
        <v>0</v>
      </c>
    </row>
    <row r="107" spans="1:13" ht="12.75">
      <c r="A107" t="str">
        <f>$A$105</f>
        <v>VR5</v>
      </c>
      <c r="B107">
        <f>SP64!C109</f>
        <v>107</v>
      </c>
      <c r="C107" t="e">
        <f>IF((SP64!D109)="Freilos",0,VLOOKUP(SP64!D109,'BA-Teilnehmer'!$G$6:$J$69,4,FALSE))</f>
        <v>#N/A</v>
      </c>
      <c r="D107" t="e">
        <f>IF((SP64!E109)="Freilos",0,VLOOKUP(SP64!E109,'BA-Teilnehmer'!$G$6:$J$69,4,FALSE))</f>
        <v>#N/A</v>
      </c>
      <c r="E107">
        <f>SP64!F109</f>
        <v>0</v>
      </c>
      <c r="F107">
        <f>SP64!G109</f>
        <v>0</v>
      </c>
      <c r="G107">
        <f>SP64!H109</f>
        <v>0</v>
      </c>
      <c r="H107">
        <f>SP64!I109</f>
        <v>0</v>
      </c>
      <c r="I107">
        <f>SP64!J109</f>
        <v>0</v>
      </c>
      <c r="J107">
        <f>SP64!K109</f>
        <v>0</v>
      </c>
      <c r="K107">
        <f>SP64!L109</f>
        <v>0</v>
      </c>
      <c r="L107" s="243">
        <f>SP64!AS109</f>
        <v>0</v>
      </c>
      <c r="M107" s="243">
        <f>SP64!AT109</f>
        <v>0</v>
      </c>
    </row>
    <row r="108" spans="1:13" ht="12.75">
      <c r="A108" t="str">
        <f>$A$105</f>
        <v>VR5</v>
      </c>
      <c r="B108">
        <f>SP64!C110</f>
        <v>108</v>
      </c>
      <c r="C108" t="e">
        <f>IF((SP64!D110)="Freilos",0,VLOOKUP(SP64!D110,'BA-Teilnehmer'!$G$6:$J$69,4,FALSE))</f>
        <v>#N/A</v>
      </c>
      <c r="D108" t="e">
        <f>IF((SP64!E110)="Freilos",0,VLOOKUP(SP64!E110,'BA-Teilnehmer'!$G$6:$J$69,4,FALSE))</f>
        <v>#N/A</v>
      </c>
      <c r="E108">
        <f>SP64!F110</f>
        <v>0</v>
      </c>
      <c r="F108">
        <f>SP64!G110</f>
        <v>0</v>
      </c>
      <c r="G108">
        <f>SP64!H110</f>
        <v>0</v>
      </c>
      <c r="H108">
        <f>SP64!I110</f>
        <v>0</v>
      </c>
      <c r="I108">
        <f>SP64!J110</f>
        <v>0</v>
      </c>
      <c r="J108">
        <f>SP64!K110</f>
        <v>0</v>
      </c>
      <c r="K108">
        <f>SP64!L110</f>
        <v>0</v>
      </c>
      <c r="L108" s="243">
        <f>SP64!AS110</f>
        <v>0</v>
      </c>
      <c r="M108" s="243">
        <f>SP64!AT110</f>
        <v>0</v>
      </c>
    </row>
    <row r="109" spans="1:13" ht="12.75">
      <c r="A109" t="str">
        <f>SP64!B111</f>
        <v>GR3</v>
      </c>
      <c r="B109">
        <f>SP64!C111</f>
        <v>109</v>
      </c>
      <c r="C109" t="e">
        <f>IF((SP64!D111)="Freilos",0,VLOOKUP(SP64!D111,'BA-Teilnehmer'!$G$6:$J$69,4,FALSE))</f>
        <v>#N/A</v>
      </c>
      <c r="D109" t="e">
        <f>IF((SP64!E111)="Freilos",0,VLOOKUP(SP64!E111,'BA-Teilnehmer'!$G$6:$J$69,4,FALSE))</f>
        <v>#N/A</v>
      </c>
      <c r="E109">
        <f>SP64!F111</f>
        <v>0</v>
      </c>
      <c r="F109">
        <f>SP64!G111</f>
        <v>0</v>
      </c>
      <c r="G109">
        <f>SP64!H111</f>
        <v>0</v>
      </c>
      <c r="H109">
        <f>SP64!I111</f>
        <v>0</v>
      </c>
      <c r="I109">
        <f>SP64!J111</f>
        <v>0</v>
      </c>
      <c r="J109">
        <f>SP64!K111</f>
        <v>0</v>
      </c>
      <c r="K109">
        <f>SP64!L111</f>
        <v>0</v>
      </c>
      <c r="L109" s="243">
        <f>SP64!AS111</f>
        <v>0</v>
      </c>
      <c r="M109" s="243">
        <f>SP64!AT111</f>
        <v>0</v>
      </c>
    </row>
    <row r="110" spans="1:13" ht="12.75">
      <c r="A110" t="str">
        <f>$A$109</f>
        <v>GR3</v>
      </c>
      <c r="B110">
        <f>SP64!C112</f>
        <v>110</v>
      </c>
      <c r="C110" t="e">
        <f>IF((SP64!D112)="Freilos",0,VLOOKUP(SP64!D112,'BA-Teilnehmer'!$G$6:$J$69,4,FALSE))</f>
        <v>#N/A</v>
      </c>
      <c r="D110" t="e">
        <f>IF((SP64!E112)="Freilos",0,VLOOKUP(SP64!E112,'BA-Teilnehmer'!$G$6:$J$69,4,FALSE))</f>
        <v>#N/A</v>
      </c>
      <c r="E110">
        <f>SP64!F112</f>
        <v>0</v>
      </c>
      <c r="F110">
        <f>SP64!G112</f>
        <v>0</v>
      </c>
      <c r="G110">
        <f>SP64!H112</f>
        <v>0</v>
      </c>
      <c r="H110">
        <f>SP64!I112</f>
        <v>0</v>
      </c>
      <c r="I110">
        <f>SP64!J112</f>
        <v>0</v>
      </c>
      <c r="J110">
        <f>SP64!K112</f>
        <v>0</v>
      </c>
      <c r="K110">
        <f>SP64!L112</f>
        <v>0</v>
      </c>
      <c r="L110" s="243">
        <f>SP64!AS112</f>
        <v>0</v>
      </c>
      <c r="M110" s="243">
        <f>SP64!AT112</f>
        <v>0</v>
      </c>
    </row>
    <row r="111" spans="1:13" ht="12.75">
      <c r="A111" t="str">
        <f>$A$109</f>
        <v>GR3</v>
      </c>
      <c r="B111">
        <f>SP64!C113</f>
        <v>111</v>
      </c>
      <c r="C111" t="e">
        <f>IF((SP64!D113)="Freilos",0,VLOOKUP(SP64!D113,'BA-Teilnehmer'!$G$6:$J$69,4,FALSE))</f>
        <v>#N/A</v>
      </c>
      <c r="D111" t="e">
        <f>IF((SP64!E113)="Freilos",0,VLOOKUP(SP64!E113,'BA-Teilnehmer'!$G$6:$J$69,4,FALSE))</f>
        <v>#N/A</v>
      </c>
      <c r="E111">
        <f>SP64!F113</f>
        <v>0</v>
      </c>
      <c r="F111">
        <f>SP64!G113</f>
        <v>0</v>
      </c>
      <c r="G111">
        <f>SP64!H113</f>
        <v>0</v>
      </c>
      <c r="H111">
        <f>SP64!I113</f>
        <v>0</v>
      </c>
      <c r="I111">
        <f>SP64!J113</f>
        <v>0</v>
      </c>
      <c r="J111">
        <f>SP64!K113</f>
        <v>0</v>
      </c>
      <c r="K111">
        <f>SP64!L113</f>
        <v>0</v>
      </c>
      <c r="L111" s="243">
        <f>SP64!AS113</f>
        <v>0</v>
      </c>
      <c r="M111" s="243">
        <f>SP64!AT113</f>
        <v>0</v>
      </c>
    </row>
    <row r="112" spans="1:13" ht="12.75">
      <c r="A112" t="str">
        <f>$A$109</f>
        <v>GR3</v>
      </c>
      <c r="B112">
        <f>SP64!C114</f>
        <v>112</v>
      </c>
      <c r="C112" t="e">
        <f>IF((SP64!D114)="Freilos",0,VLOOKUP(SP64!D114,'BA-Teilnehmer'!$G$6:$J$69,4,FALSE))</f>
        <v>#N/A</v>
      </c>
      <c r="D112" t="e">
        <f>IF((SP64!E114)="Freilos",0,VLOOKUP(SP64!E114,'BA-Teilnehmer'!$G$6:$J$69,4,FALSE))</f>
        <v>#N/A</v>
      </c>
      <c r="E112">
        <f>SP64!F114</f>
        <v>0</v>
      </c>
      <c r="F112">
        <f>SP64!G114</f>
        <v>0</v>
      </c>
      <c r="G112">
        <f>SP64!H114</f>
        <v>0</v>
      </c>
      <c r="H112">
        <f>SP64!I114</f>
        <v>0</v>
      </c>
      <c r="I112">
        <f>SP64!J114</f>
        <v>0</v>
      </c>
      <c r="J112">
        <f>SP64!K114</f>
        <v>0</v>
      </c>
      <c r="K112">
        <f>SP64!L114</f>
        <v>0</v>
      </c>
      <c r="L112" s="243">
        <f>SP64!AS114</f>
        <v>0</v>
      </c>
      <c r="M112" s="243">
        <f>SP64!AT114</f>
        <v>0</v>
      </c>
    </row>
    <row r="113" spans="1:13" ht="12.75">
      <c r="A113" t="str">
        <f>SP64!B115</f>
        <v>VR6</v>
      </c>
      <c r="B113">
        <f>SP64!C115</f>
        <v>113</v>
      </c>
      <c r="C113" t="e">
        <f>IF((SP64!D115)="Freilos",0,VLOOKUP(SP64!D115,'BA-Teilnehmer'!$G$6:$J$69,4,FALSE))</f>
        <v>#N/A</v>
      </c>
      <c r="D113" t="e">
        <f>IF((SP64!E115)="Freilos",0,VLOOKUP(SP64!E115,'BA-Teilnehmer'!$G$6:$J$69,4,FALSE))</f>
        <v>#N/A</v>
      </c>
      <c r="E113">
        <f>SP64!F115</f>
        <v>0</v>
      </c>
      <c r="F113">
        <f>SP64!G115</f>
        <v>0</v>
      </c>
      <c r="G113">
        <f>SP64!H115</f>
        <v>0</v>
      </c>
      <c r="H113">
        <f>SP64!I115</f>
        <v>0</v>
      </c>
      <c r="I113">
        <f>SP64!J115</f>
        <v>0</v>
      </c>
      <c r="J113">
        <f>SP64!K115</f>
        <v>0</v>
      </c>
      <c r="K113">
        <f>SP64!L115</f>
        <v>0</v>
      </c>
      <c r="L113" s="243">
        <f>SP64!AS115</f>
        <v>0</v>
      </c>
      <c r="M113" s="243">
        <f>SP64!AT115</f>
        <v>0</v>
      </c>
    </row>
    <row r="114" spans="1:13" ht="12.75">
      <c r="A114" t="str">
        <f>$A$113</f>
        <v>VR6</v>
      </c>
      <c r="B114">
        <f>SP64!C116</f>
        <v>114</v>
      </c>
      <c r="C114" t="e">
        <f>IF((SP64!D116)="Freilos",0,VLOOKUP(SP64!D116,'BA-Teilnehmer'!$G$6:$J$69,4,FALSE))</f>
        <v>#N/A</v>
      </c>
      <c r="D114" t="e">
        <f>IF((SP64!E116)="Freilos",0,VLOOKUP(SP64!E116,'BA-Teilnehmer'!$G$6:$J$69,4,FALSE))</f>
        <v>#N/A</v>
      </c>
      <c r="E114">
        <f>SP64!F116</f>
        <v>0</v>
      </c>
      <c r="F114">
        <f>SP64!G116</f>
        <v>0</v>
      </c>
      <c r="G114">
        <f>SP64!H116</f>
        <v>0</v>
      </c>
      <c r="H114">
        <f>SP64!I116</f>
        <v>0</v>
      </c>
      <c r="I114">
        <f>SP64!J116</f>
        <v>0</v>
      </c>
      <c r="J114">
        <f>SP64!K116</f>
        <v>0</v>
      </c>
      <c r="K114">
        <f>SP64!L116</f>
        <v>0</v>
      </c>
      <c r="L114" s="243">
        <f>SP64!AS116</f>
        <v>0</v>
      </c>
      <c r="M114" s="243">
        <f>SP64!AT116</f>
        <v>0</v>
      </c>
    </row>
    <row r="115" spans="1:13" ht="12.75">
      <c r="A115" t="str">
        <f>$A$113</f>
        <v>VR6</v>
      </c>
      <c r="B115">
        <f>SP64!C117</f>
        <v>115</v>
      </c>
      <c r="C115" t="e">
        <f>IF((SP64!D117)="Freilos",0,VLOOKUP(SP64!D117,'BA-Teilnehmer'!$G$6:$J$69,4,FALSE))</f>
        <v>#N/A</v>
      </c>
      <c r="D115" t="e">
        <f>IF((SP64!E117)="Freilos",0,VLOOKUP(SP64!E117,'BA-Teilnehmer'!$G$6:$J$69,4,FALSE))</f>
        <v>#N/A</v>
      </c>
      <c r="E115">
        <f>SP64!F117</f>
        <v>0</v>
      </c>
      <c r="F115">
        <f>SP64!G117</f>
        <v>0</v>
      </c>
      <c r="G115">
        <f>SP64!H117</f>
        <v>0</v>
      </c>
      <c r="H115">
        <f>SP64!I117</f>
        <v>0</v>
      </c>
      <c r="I115">
        <f>SP64!J117</f>
        <v>0</v>
      </c>
      <c r="J115">
        <f>SP64!K117</f>
        <v>0</v>
      </c>
      <c r="K115">
        <f>SP64!L117</f>
        <v>0</v>
      </c>
      <c r="L115" s="243">
        <f>SP64!AS117</f>
        <v>0</v>
      </c>
      <c r="M115" s="243">
        <f>SP64!AT117</f>
        <v>0</v>
      </c>
    </row>
    <row r="116" spans="1:13" ht="12.75">
      <c r="A116" t="str">
        <f>$A$113</f>
        <v>VR6</v>
      </c>
      <c r="B116">
        <f>SP64!C118</f>
        <v>116</v>
      </c>
      <c r="C116" t="e">
        <f>IF((SP64!D118)="Freilos",0,VLOOKUP(SP64!D118,'BA-Teilnehmer'!$G$6:$J$69,4,FALSE))</f>
        <v>#N/A</v>
      </c>
      <c r="D116" t="e">
        <f>IF((SP64!E118)="Freilos",0,VLOOKUP(SP64!E118,'BA-Teilnehmer'!$G$6:$J$69,4,FALSE))</f>
        <v>#N/A</v>
      </c>
      <c r="E116">
        <f>SP64!F118</f>
        <v>0</v>
      </c>
      <c r="F116">
        <f>SP64!G118</f>
        <v>0</v>
      </c>
      <c r="G116">
        <f>SP64!H118</f>
        <v>0</v>
      </c>
      <c r="H116">
        <f>SP64!I118</f>
        <v>0</v>
      </c>
      <c r="I116">
        <f>SP64!J118</f>
        <v>0</v>
      </c>
      <c r="J116">
        <f>SP64!K118</f>
        <v>0</v>
      </c>
      <c r="K116">
        <f>SP64!L118</f>
        <v>0</v>
      </c>
      <c r="L116" s="243">
        <f>SP64!AS118</f>
        <v>0</v>
      </c>
      <c r="M116" s="243">
        <f>SP64!AT118</f>
        <v>0</v>
      </c>
    </row>
    <row r="117" spans="1:13" ht="12.75">
      <c r="A117" t="str">
        <f>SP64!B119</f>
        <v>VR7</v>
      </c>
      <c r="B117">
        <f>SP64!C119</f>
        <v>117</v>
      </c>
      <c r="C117" t="e">
        <f>IF((SP64!D119)="Freilos",0,VLOOKUP(SP64!D119,'BA-Teilnehmer'!$G$6:$J$69,4,FALSE))</f>
        <v>#N/A</v>
      </c>
      <c r="D117" t="e">
        <f>IF((SP64!E119)="Freilos",0,VLOOKUP(SP64!E119,'BA-Teilnehmer'!$G$6:$J$69,4,FALSE))</f>
        <v>#N/A</v>
      </c>
      <c r="E117">
        <f>SP64!F119</f>
        <v>0</v>
      </c>
      <c r="F117">
        <f>SP64!G119</f>
        <v>0</v>
      </c>
      <c r="G117">
        <f>SP64!H119</f>
        <v>0</v>
      </c>
      <c r="H117">
        <f>SP64!I119</f>
        <v>0</v>
      </c>
      <c r="I117">
        <f>SP64!J119</f>
        <v>0</v>
      </c>
      <c r="J117">
        <f>SP64!K119</f>
        <v>0</v>
      </c>
      <c r="K117">
        <f>SP64!L119</f>
        <v>0</v>
      </c>
      <c r="L117" s="243">
        <f>SP64!AS119</f>
        <v>0</v>
      </c>
      <c r="M117" s="243">
        <f>SP64!AT119</f>
        <v>0</v>
      </c>
    </row>
    <row r="118" spans="1:13" ht="12.75">
      <c r="A118" t="str">
        <f>A117</f>
        <v>VR7</v>
      </c>
      <c r="B118">
        <f>SP64!C120</f>
        <v>118</v>
      </c>
      <c r="C118" t="e">
        <f>IF((SP64!D120)="Freilos",0,VLOOKUP(SP64!D120,'BA-Teilnehmer'!$G$6:$J$69,4,FALSE))</f>
        <v>#N/A</v>
      </c>
      <c r="D118" t="e">
        <f>IF((SP64!E120)="Freilos",0,VLOOKUP(SP64!E120,'BA-Teilnehmer'!$G$6:$J$69,4,FALSE))</f>
        <v>#N/A</v>
      </c>
      <c r="E118">
        <f>SP64!F120</f>
        <v>0</v>
      </c>
      <c r="F118">
        <f>SP64!G120</f>
        <v>0</v>
      </c>
      <c r="G118">
        <f>SP64!H120</f>
        <v>0</v>
      </c>
      <c r="H118">
        <f>SP64!I120</f>
        <v>0</v>
      </c>
      <c r="I118">
        <f>SP64!J120</f>
        <v>0</v>
      </c>
      <c r="J118">
        <f>SP64!K120</f>
        <v>0</v>
      </c>
      <c r="K118">
        <f>SP64!L120</f>
        <v>0</v>
      </c>
      <c r="L118" s="243">
        <f>SP64!AS120</f>
        <v>0</v>
      </c>
      <c r="M118" s="243">
        <f>SP64!AT120</f>
        <v>0</v>
      </c>
    </row>
    <row r="119" spans="1:13" ht="12.75">
      <c r="A119" t="str">
        <f>SP64!B121</f>
        <v>GR4</v>
      </c>
      <c r="B119">
        <f>SP64!C121</f>
        <v>119</v>
      </c>
      <c r="C119" t="e">
        <f>IF((SP64!D121)="Freilos",0,VLOOKUP(SP64!D121,'BA-Teilnehmer'!$G$6:$J$69,4,FALSE))</f>
        <v>#N/A</v>
      </c>
      <c r="D119" t="e">
        <f>IF((SP64!E121)="Freilos",0,VLOOKUP(SP64!E121,'BA-Teilnehmer'!$G$6:$J$69,4,FALSE))</f>
        <v>#N/A</v>
      </c>
      <c r="E119">
        <f>SP64!F121</f>
        <v>0</v>
      </c>
      <c r="F119">
        <f>SP64!G121</f>
        <v>0</v>
      </c>
      <c r="G119">
        <f>SP64!H121</f>
        <v>0</v>
      </c>
      <c r="H119">
        <f>SP64!I121</f>
        <v>0</v>
      </c>
      <c r="I119">
        <f>SP64!J121</f>
        <v>0</v>
      </c>
      <c r="J119">
        <f>SP64!K121</f>
        <v>0</v>
      </c>
      <c r="K119">
        <f>SP64!L121</f>
        <v>0</v>
      </c>
      <c r="L119" s="243">
        <f>SP64!AS121</f>
        <v>0</v>
      </c>
      <c r="M119" s="243">
        <f>SP64!AT121</f>
        <v>0</v>
      </c>
    </row>
    <row r="120" spans="1:13" ht="12.75">
      <c r="A120" t="str">
        <f>A119</f>
        <v>GR4</v>
      </c>
      <c r="B120">
        <f>SP64!C122</f>
        <v>120</v>
      </c>
      <c r="C120" t="e">
        <f>IF((SP64!D122)="Freilos",0,VLOOKUP(SP64!D122,'BA-Teilnehmer'!$G$6:$J$69,4,FALSE))</f>
        <v>#N/A</v>
      </c>
      <c r="D120" t="e">
        <f>IF((SP64!E122)="Freilos",0,VLOOKUP(SP64!E122,'BA-Teilnehmer'!$G$6:$J$69,4,FALSE))</f>
        <v>#N/A</v>
      </c>
      <c r="E120">
        <f>SP64!F122</f>
        <v>0</v>
      </c>
      <c r="F120">
        <f>SP64!G122</f>
        <v>0</v>
      </c>
      <c r="G120">
        <f>SP64!H122</f>
        <v>0</v>
      </c>
      <c r="H120">
        <f>SP64!I122</f>
        <v>0</v>
      </c>
      <c r="I120">
        <f>SP64!J122</f>
        <v>0</v>
      </c>
      <c r="J120">
        <f>SP64!K122</f>
        <v>0</v>
      </c>
      <c r="K120">
        <f>SP64!L122</f>
        <v>0</v>
      </c>
      <c r="L120" s="243">
        <f>SP64!AS122</f>
        <v>0</v>
      </c>
      <c r="M120" s="243">
        <f>SP64!AT122</f>
        <v>0</v>
      </c>
    </row>
    <row r="121" spans="1:13" ht="12.75">
      <c r="A121" t="str">
        <f>SP64!B123</f>
        <v>VR8</v>
      </c>
      <c r="B121">
        <f>SP64!C123</f>
        <v>121</v>
      </c>
      <c r="C121" t="e">
        <f>IF((SP64!D123)="Freilos",0,VLOOKUP(SP64!D123,'BA-Teilnehmer'!$G$6:$J$69,4,FALSE))</f>
        <v>#N/A</v>
      </c>
      <c r="D121" t="e">
        <f>IF((SP64!E123)="Freilos",0,VLOOKUP(SP64!E123,'BA-Teilnehmer'!$G$6:$J$69,4,FALSE))</f>
        <v>#N/A</v>
      </c>
      <c r="E121">
        <f>SP64!F123</f>
        <v>0</v>
      </c>
      <c r="F121">
        <f>SP64!G123</f>
        <v>0</v>
      </c>
      <c r="G121">
        <f>SP64!H123</f>
        <v>0</v>
      </c>
      <c r="H121">
        <f>SP64!I123</f>
        <v>0</v>
      </c>
      <c r="I121">
        <f>SP64!J123</f>
        <v>0</v>
      </c>
      <c r="J121">
        <f>SP64!K123</f>
        <v>0</v>
      </c>
      <c r="K121">
        <f>SP64!L123</f>
        <v>0</v>
      </c>
      <c r="L121" s="243">
        <f>SP64!AS123</f>
        <v>0</v>
      </c>
      <c r="M121" s="243">
        <f>SP64!AT123</f>
        <v>0</v>
      </c>
    </row>
    <row r="122" spans="1:13" ht="12.75">
      <c r="A122" t="str">
        <f>A121</f>
        <v>VR8</v>
      </c>
      <c r="B122">
        <f>SP64!C124</f>
        <v>122</v>
      </c>
      <c r="C122" t="e">
        <f>IF((SP64!D124)="Freilos",0,VLOOKUP(SP64!D124,'BA-Teilnehmer'!$G$6:$J$69,4,FALSE))</f>
        <v>#N/A</v>
      </c>
      <c r="D122" t="e">
        <f>IF((SP64!E124)="Freilos",0,VLOOKUP(SP64!E124,'BA-Teilnehmer'!$G$6:$J$69,4,FALSE))</f>
        <v>#N/A</v>
      </c>
      <c r="E122">
        <f>SP64!F124</f>
        <v>0</v>
      </c>
      <c r="F122">
        <f>SP64!G124</f>
        <v>0</v>
      </c>
      <c r="G122">
        <f>SP64!H124</f>
        <v>0</v>
      </c>
      <c r="H122">
        <f>SP64!I124</f>
        <v>0</v>
      </c>
      <c r="I122">
        <f>SP64!J124</f>
        <v>0</v>
      </c>
      <c r="J122">
        <f>SP64!K124</f>
        <v>0</v>
      </c>
      <c r="K122">
        <f>SP64!L124</f>
        <v>0</v>
      </c>
      <c r="L122" s="243">
        <f>SP64!AS124</f>
        <v>0</v>
      </c>
      <c r="M122" s="243">
        <f>SP64!AT124</f>
        <v>0</v>
      </c>
    </row>
    <row r="123" spans="1:13" ht="12.75">
      <c r="A123" t="str">
        <f>SP64!B125</f>
        <v>VR9</v>
      </c>
      <c r="B123">
        <f>SP64!C125</f>
        <v>123</v>
      </c>
      <c r="C123" t="e">
        <f>IF((SP64!D125)="Freilos",0,VLOOKUP(SP64!D125,'BA-Teilnehmer'!$G$6:$J$69,4,FALSE))</f>
        <v>#N/A</v>
      </c>
      <c r="D123" t="e">
        <f>IF((SP64!E125)="Freilos",0,VLOOKUP(SP64!E125,'BA-Teilnehmer'!$G$6:$J$69,4,FALSE))</f>
        <v>#N/A</v>
      </c>
      <c r="E123">
        <f>SP64!F125</f>
        <v>0</v>
      </c>
      <c r="F123">
        <f>SP64!G125</f>
        <v>0</v>
      </c>
      <c r="G123">
        <f>SP64!H125</f>
        <v>0</v>
      </c>
      <c r="H123">
        <f>SP64!I125</f>
        <v>0</v>
      </c>
      <c r="I123">
        <f>SP64!J125</f>
        <v>0</v>
      </c>
      <c r="J123">
        <f>SP64!K125</f>
        <v>0</v>
      </c>
      <c r="K123">
        <f>SP64!L125</f>
        <v>0</v>
      </c>
      <c r="L123" s="243">
        <f>SP64!AS125</f>
        <v>0</v>
      </c>
      <c r="M123" s="243">
        <f>SP64!AT125</f>
        <v>0</v>
      </c>
    </row>
    <row r="124" spans="1:13" ht="12.75">
      <c r="A124" t="str">
        <f>SP64!B126</f>
        <v>GR5</v>
      </c>
      <c r="B124">
        <f>SP64!C126</f>
        <v>124</v>
      </c>
      <c r="C124" t="e">
        <f>IF((SP64!D126)="Freilos",0,VLOOKUP(SP64!D126,'BA-Teilnehmer'!$G$6:$J$69,4,FALSE))</f>
        <v>#N/A</v>
      </c>
      <c r="D124" t="e">
        <f>IF((SP64!E126)="Freilos",0,VLOOKUP(SP64!E126,'BA-Teilnehmer'!$G$6:$J$69,4,FALSE))</f>
        <v>#N/A</v>
      </c>
      <c r="E124">
        <f>SP64!F126</f>
        <v>0</v>
      </c>
      <c r="F124">
        <f>SP64!G126</f>
        <v>0</v>
      </c>
      <c r="G124">
        <f>SP64!H126</f>
        <v>0</v>
      </c>
      <c r="H124">
        <f>SP64!I126</f>
        <v>0</v>
      </c>
      <c r="I124">
        <f>SP64!J126</f>
        <v>0</v>
      </c>
      <c r="J124">
        <f>SP64!K126</f>
        <v>0</v>
      </c>
      <c r="K124">
        <f>SP64!L126</f>
        <v>0</v>
      </c>
      <c r="L124" s="243">
        <f>SP64!AS126</f>
        <v>0</v>
      </c>
      <c r="M124" s="243">
        <f>SP64!AT126</f>
        <v>0</v>
      </c>
    </row>
    <row r="125" spans="1:13" ht="12.75">
      <c r="A125" t="str">
        <f>SP64!B127</f>
        <v>VR10</v>
      </c>
      <c r="B125">
        <f>SP64!C127</f>
        <v>125</v>
      </c>
      <c r="C125" t="e">
        <f>IF((SP64!D127)="Freilos",0,VLOOKUP(SP64!D127,'BA-Teilnehmer'!$G$6:$J$69,4,FALSE))</f>
        <v>#N/A</v>
      </c>
      <c r="D125" t="e">
        <f>IF((SP64!E127)="Freilos",0,VLOOKUP(SP64!E127,'BA-Teilnehmer'!$G$6:$J$69,4,FALSE))</f>
        <v>#N/A</v>
      </c>
      <c r="E125">
        <f>SP64!F127</f>
        <v>0</v>
      </c>
      <c r="F125">
        <f>SP64!G127</f>
        <v>0</v>
      </c>
      <c r="G125">
        <f>SP64!H127</f>
        <v>0</v>
      </c>
      <c r="H125">
        <f>SP64!I127</f>
        <v>0</v>
      </c>
      <c r="I125">
        <f>SP64!J127</f>
        <v>0</v>
      </c>
      <c r="J125">
        <f>SP64!K127</f>
        <v>0</v>
      </c>
      <c r="K125">
        <f>SP64!L127</f>
        <v>0</v>
      </c>
      <c r="L125" s="243">
        <f>SP64!AS127</f>
        <v>0</v>
      </c>
      <c r="M125" s="243">
        <f>SP64!AT127</f>
        <v>0</v>
      </c>
    </row>
    <row r="126" spans="1:13" ht="12.75">
      <c r="A126" t="str">
        <f>SP64!B128</f>
        <v>Finale</v>
      </c>
      <c r="B126">
        <f>SP64!C128</f>
        <v>126</v>
      </c>
      <c r="C126" t="e">
        <f>IF((SP64!D128)="Freilos",0,VLOOKUP(SP64!D128,'BA-Teilnehmer'!$G$6:$J$69,4,FALSE))</f>
        <v>#N/A</v>
      </c>
      <c r="D126" t="e">
        <f>IF((SP64!E128)="Freilos",0,VLOOKUP(SP64!E128,'BA-Teilnehmer'!$G$6:$J$69,4,FALSE))</f>
        <v>#N/A</v>
      </c>
      <c r="E126">
        <f>SP64!F128</f>
        <v>0</v>
      </c>
      <c r="F126">
        <f>SP64!G128</f>
        <v>0</v>
      </c>
      <c r="G126">
        <f>SP64!H128</f>
        <v>0</v>
      </c>
      <c r="H126">
        <f>SP64!I128</f>
        <v>0</v>
      </c>
      <c r="I126">
        <f>SP64!J128</f>
        <v>0</v>
      </c>
      <c r="J126">
        <f>SP64!K128</f>
        <v>0</v>
      </c>
      <c r="K126">
        <f>SP64!L128</f>
        <v>0</v>
      </c>
      <c r="L126" s="243">
        <f>SP64!AS128</f>
        <v>0</v>
      </c>
      <c r="M126" s="243">
        <f>SP64!AT128</f>
        <v>0</v>
      </c>
    </row>
    <row r="127" spans="1:13" ht="12.75">
      <c r="A127" t="str">
        <f>SP64!B129</f>
        <v>Finale</v>
      </c>
      <c r="B127">
        <f>SP64!C129</f>
        <v>127</v>
      </c>
      <c r="C127" t="e">
        <f>IF((SP64!D129)="Freilos",0,VLOOKUP(SP64!D129,'BA-Teilnehmer'!$G$6:$J$69,4,FALSE))</f>
        <v>#N/A</v>
      </c>
      <c r="D127" t="e">
        <f>IF((SP64!E129)="Freilos",0,VLOOKUP(SP64!E129,'BA-Teilnehmer'!$G$6:$J$69,4,FALSE))</f>
        <v>#N/A</v>
      </c>
      <c r="E127">
        <f>SP64!F129</f>
        <v>0</v>
      </c>
      <c r="F127">
        <f>SP64!G129</f>
        <v>0</v>
      </c>
      <c r="G127">
        <f>SP64!H129</f>
        <v>0</v>
      </c>
      <c r="H127">
        <f>SP64!I129</f>
        <v>0</v>
      </c>
      <c r="I127">
        <f>SP64!J129</f>
        <v>0</v>
      </c>
      <c r="J127">
        <f>SP64!K129</f>
        <v>0</v>
      </c>
      <c r="K127">
        <f>SP64!L129</f>
        <v>0</v>
      </c>
      <c r="L127" s="243">
        <f>SP64!AS129</f>
        <v>0</v>
      </c>
      <c r="M127" s="243">
        <f>SP64!AT129</f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6"/>
  <dimension ref="A1:E1632"/>
  <sheetViews>
    <sheetView zoomScalePageLayoutView="0" workbookViewId="0" topLeftCell="A1">
      <selection activeCell="A10" sqref="A10"/>
    </sheetView>
  </sheetViews>
  <sheetFormatPr defaultColWidth="38.57421875" defaultRowHeight="12.75"/>
  <cols>
    <col min="1" max="1" width="35.8515625" style="0" bestFit="1" customWidth="1"/>
    <col min="2" max="2" width="4.8515625" style="0" bestFit="1" customWidth="1"/>
    <col min="3" max="3" width="18.140625" style="0" bestFit="1" customWidth="1"/>
    <col min="4" max="4" width="7.57421875" style="0" bestFit="1" customWidth="1"/>
    <col min="5" max="5" width="4.00390625" style="0" bestFit="1" customWidth="1"/>
  </cols>
  <sheetData>
    <row r="1" spans="1:5" ht="12.75">
      <c r="A1" s="166" t="s">
        <v>1132</v>
      </c>
      <c r="B1" s="166" t="s">
        <v>1133</v>
      </c>
      <c r="C1" s="166" t="s">
        <v>1134</v>
      </c>
      <c r="D1" s="166" t="s">
        <v>1135</v>
      </c>
      <c r="E1" s="166" t="s">
        <v>1136</v>
      </c>
    </row>
    <row r="2" spans="1:5" ht="12.75">
      <c r="A2" s="167" t="s">
        <v>1571</v>
      </c>
      <c r="B2" s="168">
        <v>301</v>
      </c>
      <c r="C2" s="167" t="s">
        <v>1572</v>
      </c>
      <c r="D2" s="168">
        <v>724</v>
      </c>
      <c r="E2" s="168">
        <v>27</v>
      </c>
    </row>
    <row r="3" spans="1:5" ht="12.75">
      <c r="A3" s="167" t="s">
        <v>1573</v>
      </c>
      <c r="B3" s="168">
        <v>301</v>
      </c>
      <c r="C3" s="167" t="s">
        <v>1572</v>
      </c>
      <c r="D3" s="168">
        <v>689</v>
      </c>
      <c r="E3" s="168">
        <v>14</v>
      </c>
    </row>
    <row r="4" spans="1:5" ht="12.75">
      <c r="A4" s="167" t="s">
        <v>1574</v>
      </c>
      <c r="B4" s="168">
        <v>301</v>
      </c>
      <c r="C4" s="167" t="s">
        <v>1572</v>
      </c>
      <c r="D4" s="168">
        <v>709</v>
      </c>
      <c r="E4" s="168" t="s">
        <v>1083</v>
      </c>
    </row>
    <row r="5" spans="1:5" ht="12.75">
      <c r="A5" s="167" t="s">
        <v>1575</v>
      </c>
      <c r="B5" s="168">
        <v>301</v>
      </c>
      <c r="C5" s="167" t="s">
        <v>1572</v>
      </c>
      <c r="D5" s="168">
        <v>618</v>
      </c>
      <c r="E5" s="168">
        <v>28</v>
      </c>
    </row>
    <row r="6" spans="1:5" ht="12.75">
      <c r="A6" s="167" t="s">
        <v>1576</v>
      </c>
      <c r="B6" s="168">
        <v>301</v>
      </c>
      <c r="C6" s="167" t="s">
        <v>1572</v>
      </c>
      <c r="D6" s="168">
        <v>690</v>
      </c>
      <c r="E6" s="168">
        <v>29</v>
      </c>
    </row>
    <row r="7" spans="1:5" ht="12.75">
      <c r="A7" s="167" t="s">
        <v>1577</v>
      </c>
      <c r="B7" s="168">
        <v>301</v>
      </c>
      <c r="C7" s="167" t="s">
        <v>1572</v>
      </c>
      <c r="D7" s="168">
        <v>691</v>
      </c>
      <c r="E7" s="168" t="s">
        <v>1083</v>
      </c>
    </row>
    <row r="8" spans="1:5" ht="12.75">
      <c r="A8" s="167" t="s">
        <v>1578</v>
      </c>
      <c r="B8" s="168">
        <v>301</v>
      </c>
      <c r="C8" s="167" t="s">
        <v>1572</v>
      </c>
      <c r="D8" s="168">
        <v>564</v>
      </c>
      <c r="E8" s="168">
        <v>30</v>
      </c>
    </row>
    <row r="9" spans="1:5" ht="12.75">
      <c r="A9" s="167" t="s">
        <v>1579</v>
      </c>
      <c r="B9" s="168">
        <v>301</v>
      </c>
      <c r="C9" s="167" t="s">
        <v>1572</v>
      </c>
      <c r="D9" s="168">
        <v>464</v>
      </c>
      <c r="E9" s="168" t="s">
        <v>1083</v>
      </c>
    </row>
    <row r="10" spans="1:5" ht="12.75">
      <c r="A10" s="167" t="s">
        <v>1580</v>
      </c>
      <c r="B10" s="168">
        <v>301</v>
      </c>
      <c r="C10" s="167" t="s">
        <v>1572</v>
      </c>
      <c r="D10" s="168">
        <v>620</v>
      </c>
      <c r="E10" s="168">
        <v>32</v>
      </c>
    </row>
    <row r="11" spans="1:5" ht="12.75">
      <c r="A11" s="167" t="s">
        <v>1581</v>
      </c>
      <c r="B11" s="168">
        <v>301</v>
      </c>
      <c r="C11" s="167" t="s">
        <v>1572</v>
      </c>
      <c r="D11" s="168">
        <v>566</v>
      </c>
      <c r="E11" s="168">
        <v>31</v>
      </c>
    </row>
    <row r="12" spans="1:5" ht="12.75">
      <c r="A12" s="167" t="s">
        <v>1582</v>
      </c>
      <c r="B12" s="168">
        <v>301</v>
      </c>
      <c r="C12" s="167" t="s">
        <v>1572</v>
      </c>
      <c r="D12" s="168">
        <v>659</v>
      </c>
      <c r="E12" s="168">
        <v>33</v>
      </c>
    </row>
    <row r="13" spans="1:5" ht="12.75">
      <c r="A13" s="167" t="s">
        <v>1583</v>
      </c>
      <c r="B13" s="168">
        <v>301</v>
      </c>
      <c r="C13" s="167" t="s">
        <v>1572</v>
      </c>
      <c r="D13" s="168">
        <v>712</v>
      </c>
      <c r="E13" s="168" t="s">
        <v>1083</v>
      </c>
    </row>
    <row r="14" spans="1:5" ht="12.75">
      <c r="A14" s="167" t="s">
        <v>1584</v>
      </c>
      <c r="B14" s="168">
        <v>301</v>
      </c>
      <c r="C14" s="167" t="s">
        <v>1572</v>
      </c>
      <c r="D14" s="168">
        <v>421</v>
      </c>
      <c r="E14" s="168">
        <v>34</v>
      </c>
    </row>
    <row r="15" spans="1:5" ht="12.75">
      <c r="A15" s="167" t="s">
        <v>1585</v>
      </c>
      <c r="B15" s="168">
        <v>301</v>
      </c>
      <c r="C15" s="167" t="s">
        <v>1572</v>
      </c>
      <c r="D15" s="168">
        <v>192</v>
      </c>
      <c r="E15" s="168">
        <v>17</v>
      </c>
    </row>
    <row r="16" spans="1:5" ht="12.75">
      <c r="A16" s="167" t="s">
        <v>1586</v>
      </c>
      <c r="B16" s="168">
        <v>301</v>
      </c>
      <c r="C16" s="167" t="s">
        <v>1572</v>
      </c>
      <c r="D16" s="168">
        <v>205</v>
      </c>
      <c r="E16" s="168">
        <v>35</v>
      </c>
    </row>
    <row r="17" spans="1:5" ht="12.75">
      <c r="A17" s="167" t="s">
        <v>1587</v>
      </c>
      <c r="B17" s="168">
        <v>301</v>
      </c>
      <c r="C17" s="167" t="s">
        <v>1572</v>
      </c>
      <c r="D17" s="168">
        <v>710</v>
      </c>
      <c r="E17" s="168" t="s">
        <v>1083</v>
      </c>
    </row>
    <row r="18" spans="1:5" ht="12.75">
      <c r="A18" s="167" t="s">
        <v>1588</v>
      </c>
      <c r="B18" s="168">
        <v>301</v>
      </c>
      <c r="C18" s="167" t="s">
        <v>1572</v>
      </c>
      <c r="D18" s="168">
        <v>719</v>
      </c>
      <c r="E18" s="168">
        <v>37</v>
      </c>
    </row>
    <row r="19" spans="1:5" ht="12.75">
      <c r="A19" s="167" t="s">
        <v>1589</v>
      </c>
      <c r="B19" s="168">
        <v>301</v>
      </c>
      <c r="C19" s="167" t="s">
        <v>1572</v>
      </c>
      <c r="D19" s="168">
        <v>382</v>
      </c>
      <c r="E19" s="168">
        <v>19</v>
      </c>
    </row>
    <row r="20" spans="1:5" ht="12.75">
      <c r="A20" s="167" t="s">
        <v>1590</v>
      </c>
      <c r="B20" s="168">
        <v>301</v>
      </c>
      <c r="C20" s="167" t="s">
        <v>1572</v>
      </c>
      <c r="D20" s="168">
        <v>715</v>
      </c>
      <c r="E20" s="168">
        <v>39</v>
      </c>
    </row>
    <row r="21" spans="1:5" ht="12.75">
      <c r="A21" s="167" t="s">
        <v>1591</v>
      </c>
      <c r="B21" s="168">
        <v>301</v>
      </c>
      <c r="C21" s="167" t="s">
        <v>1572</v>
      </c>
      <c r="D21" s="168">
        <v>383</v>
      </c>
      <c r="E21" s="168">
        <v>6</v>
      </c>
    </row>
    <row r="22" spans="1:5" ht="12.75">
      <c r="A22" s="167" t="s">
        <v>1592</v>
      </c>
      <c r="B22" s="168">
        <v>301</v>
      </c>
      <c r="C22" s="167" t="s">
        <v>1572</v>
      </c>
      <c r="D22" s="168">
        <v>660</v>
      </c>
      <c r="E22" s="168">
        <v>5</v>
      </c>
    </row>
    <row r="23" spans="1:5" ht="12.75">
      <c r="A23" s="167" t="s">
        <v>1593</v>
      </c>
      <c r="B23" s="168">
        <v>301</v>
      </c>
      <c r="C23" s="167" t="s">
        <v>1572</v>
      </c>
      <c r="D23" s="168">
        <v>493</v>
      </c>
      <c r="E23" s="168">
        <v>40</v>
      </c>
    </row>
    <row r="24" spans="1:5" ht="12.75">
      <c r="A24" s="167" t="s">
        <v>1594</v>
      </c>
      <c r="B24" s="168">
        <v>301</v>
      </c>
      <c r="C24" s="167" t="s">
        <v>1572</v>
      </c>
      <c r="D24" s="168">
        <v>2</v>
      </c>
      <c r="E24" s="168">
        <v>41</v>
      </c>
    </row>
    <row r="25" spans="1:5" ht="12.75">
      <c r="A25" s="167" t="s">
        <v>1595</v>
      </c>
      <c r="B25" s="168">
        <v>301</v>
      </c>
      <c r="C25" s="167" t="s">
        <v>1572</v>
      </c>
      <c r="D25" s="168">
        <v>661</v>
      </c>
      <c r="E25" s="168">
        <v>18</v>
      </c>
    </row>
    <row r="26" spans="1:5" ht="12.75">
      <c r="A26" s="167" t="s">
        <v>1596</v>
      </c>
      <c r="B26" s="168">
        <v>301</v>
      </c>
      <c r="C26" s="167" t="s">
        <v>1572</v>
      </c>
      <c r="D26" s="168">
        <v>662</v>
      </c>
      <c r="E26" s="168">
        <v>42</v>
      </c>
    </row>
    <row r="27" spans="1:5" ht="12.75">
      <c r="A27" s="167" t="s">
        <v>1597</v>
      </c>
      <c r="B27" s="168">
        <v>301</v>
      </c>
      <c r="C27" s="167" t="s">
        <v>1572</v>
      </c>
      <c r="D27" s="168">
        <v>683</v>
      </c>
      <c r="E27" s="168">
        <v>43</v>
      </c>
    </row>
    <row r="28" spans="1:5" ht="12.75">
      <c r="A28" s="167" t="s">
        <v>1598</v>
      </c>
      <c r="B28" s="168">
        <v>301</v>
      </c>
      <c r="C28" s="167" t="s">
        <v>1572</v>
      </c>
      <c r="D28" s="168">
        <v>693</v>
      </c>
      <c r="E28" s="168" t="s">
        <v>1083</v>
      </c>
    </row>
    <row r="29" spans="1:5" ht="12.75">
      <c r="A29" s="167" t="s">
        <v>1599</v>
      </c>
      <c r="B29" s="168">
        <v>301</v>
      </c>
      <c r="C29" s="167" t="s">
        <v>1572</v>
      </c>
      <c r="D29" s="168">
        <v>60</v>
      </c>
      <c r="E29" s="168">
        <v>44</v>
      </c>
    </row>
    <row r="30" spans="1:5" ht="12.75">
      <c r="A30" s="167" t="s">
        <v>1600</v>
      </c>
      <c r="B30" s="168">
        <v>301</v>
      </c>
      <c r="C30" s="167" t="s">
        <v>1572</v>
      </c>
      <c r="D30" s="168">
        <v>569</v>
      </c>
      <c r="E30" s="168">
        <v>45</v>
      </c>
    </row>
    <row r="31" spans="1:5" ht="12.75">
      <c r="A31" s="167" t="s">
        <v>1601</v>
      </c>
      <c r="B31" s="168">
        <v>301</v>
      </c>
      <c r="C31" s="167" t="s">
        <v>1572</v>
      </c>
      <c r="D31" s="168">
        <v>494</v>
      </c>
      <c r="E31" s="168">
        <v>46</v>
      </c>
    </row>
    <row r="32" spans="1:5" ht="12.75">
      <c r="A32" s="167" t="s">
        <v>1602</v>
      </c>
      <c r="B32" s="168">
        <v>301</v>
      </c>
      <c r="C32" s="167" t="s">
        <v>1572</v>
      </c>
      <c r="D32" s="168">
        <v>713</v>
      </c>
      <c r="E32" s="168">
        <v>48</v>
      </c>
    </row>
    <row r="33" spans="1:5" ht="12.75">
      <c r="A33" s="167" t="s">
        <v>1603</v>
      </c>
      <c r="B33" s="168">
        <v>301</v>
      </c>
      <c r="C33" s="167" t="s">
        <v>1572</v>
      </c>
      <c r="D33" s="168">
        <v>685</v>
      </c>
      <c r="E33" s="168">
        <v>22</v>
      </c>
    </row>
    <row r="34" spans="1:5" ht="12.75">
      <c r="A34" s="167" t="s">
        <v>1604</v>
      </c>
      <c r="B34" s="168">
        <v>301</v>
      </c>
      <c r="C34" s="167" t="s">
        <v>1572</v>
      </c>
      <c r="D34" s="168">
        <v>98</v>
      </c>
      <c r="E34" s="168">
        <v>3</v>
      </c>
    </row>
    <row r="35" spans="1:5" ht="12.75">
      <c r="A35" s="167" t="s">
        <v>1605</v>
      </c>
      <c r="B35" s="168">
        <v>301</v>
      </c>
      <c r="C35" s="167" t="s">
        <v>1572</v>
      </c>
      <c r="D35" s="168">
        <v>527</v>
      </c>
      <c r="E35" s="168">
        <v>8</v>
      </c>
    </row>
    <row r="36" spans="1:5" ht="12.75">
      <c r="A36" s="167" t="s">
        <v>1606</v>
      </c>
      <c r="B36" s="168">
        <v>301</v>
      </c>
      <c r="C36" s="167" t="s">
        <v>1572</v>
      </c>
      <c r="D36" s="168">
        <v>695</v>
      </c>
      <c r="E36" s="168">
        <v>50</v>
      </c>
    </row>
    <row r="37" spans="1:5" ht="12.75">
      <c r="A37" s="167" t="s">
        <v>1607</v>
      </c>
      <c r="B37" s="168">
        <v>301</v>
      </c>
      <c r="C37" s="167" t="s">
        <v>1572</v>
      </c>
      <c r="D37" s="168">
        <v>570</v>
      </c>
      <c r="E37" s="168">
        <v>13</v>
      </c>
    </row>
    <row r="38" spans="1:5" ht="12.75">
      <c r="A38" s="167" t="s">
        <v>1608</v>
      </c>
      <c r="B38" s="168">
        <v>301</v>
      </c>
      <c r="C38" s="167" t="s">
        <v>1572</v>
      </c>
      <c r="D38" s="168">
        <v>315</v>
      </c>
      <c r="E38" s="168">
        <v>51</v>
      </c>
    </row>
    <row r="39" spans="1:5" ht="12.75">
      <c r="A39" s="167" t="s">
        <v>1609</v>
      </c>
      <c r="B39" s="168">
        <v>301</v>
      </c>
      <c r="C39" s="167" t="s">
        <v>1572</v>
      </c>
      <c r="D39" s="168">
        <v>663</v>
      </c>
      <c r="E39" s="168">
        <v>1</v>
      </c>
    </row>
    <row r="40" spans="1:5" ht="12.75">
      <c r="A40" s="167" t="s">
        <v>1610</v>
      </c>
      <c r="B40" s="168">
        <v>301</v>
      </c>
      <c r="C40" s="167" t="s">
        <v>1572</v>
      </c>
      <c r="D40" s="168">
        <v>572</v>
      </c>
      <c r="E40" s="168">
        <v>52</v>
      </c>
    </row>
    <row r="41" spans="1:5" ht="12.75">
      <c r="A41" s="167" t="s">
        <v>1611</v>
      </c>
      <c r="B41" s="168">
        <v>301</v>
      </c>
      <c r="C41" s="167" t="s">
        <v>1572</v>
      </c>
      <c r="D41" s="168">
        <v>428</v>
      </c>
      <c r="E41" s="168">
        <v>23</v>
      </c>
    </row>
    <row r="42" spans="1:5" ht="12.75">
      <c r="A42" s="167" t="s">
        <v>1612</v>
      </c>
      <c r="B42" s="168">
        <v>301</v>
      </c>
      <c r="C42" s="167" t="s">
        <v>1572</v>
      </c>
      <c r="D42" s="168">
        <v>529</v>
      </c>
      <c r="E42" s="168" t="s">
        <v>1083</v>
      </c>
    </row>
    <row r="43" spans="1:5" ht="12.75">
      <c r="A43" s="167" t="s">
        <v>1613</v>
      </c>
      <c r="B43" s="168">
        <v>301</v>
      </c>
      <c r="C43" s="167" t="s">
        <v>1572</v>
      </c>
      <c r="D43" s="168">
        <v>722</v>
      </c>
      <c r="E43" s="168">
        <v>53</v>
      </c>
    </row>
    <row r="44" spans="1:5" ht="12.75">
      <c r="A44" s="167" t="s">
        <v>1614</v>
      </c>
      <c r="B44" s="168">
        <v>301</v>
      </c>
      <c r="C44" s="167" t="s">
        <v>1572</v>
      </c>
      <c r="D44" s="168">
        <v>17</v>
      </c>
      <c r="E44" s="168">
        <v>54</v>
      </c>
    </row>
    <row r="45" spans="1:5" ht="12.75">
      <c r="A45" s="167" t="s">
        <v>1615</v>
      </c>
      <c r="B45" s="168">
        <v>301</v>
      </c>
      <c r="C45" s="167" t="s">
        <v>1572</v>
      </c>
      <c r="D45" s="168">
        <v>664</v>
      </c>
      <c r="E45" s="168">
        <v>55</v>
      </c>
    </row>
    <row r="46" spans="1:5" ht="12.75">
      <c r="A46" s="167" t="s">
        <v>1616</v>
      </c>
      <c r="B46" s="168">
        <v>301</v>
      </c>
      <c r="C46" s="167" t="s">
        <v>1572</v>
      </c>
      <c r="D46" s="168">
        <v>642</v>
      </c>
      <c r="E46" s="168">
        <v>56</v>
      </c>
    </row>
    <row r="47" spans="1:5" ht="12.75">
      <c r="A47" s="167" t="s">
        <v>1617</v>
      </c>
      <c r="B47" s="168">
        <v>301</v>
      </c>
      <c r="C47" s="167" t="s">
        <v>1572</v>
      </c>
      <c r="D47" s="168">
        <v>665</v>
      </c>
      <c r="E47" s="168">
        <v>58</v>
      </c>
    </row>
    <row r="48" spans="1:5" ht="12.75">
      <c r="A48" s="167" t="s">
        <v>1618</v>
      </c>
      <c r="B48" s="168">
        <v>301</v>
      </c>
      <c r="C48" s="167" t="s">
        <v>1572</v>
      </c>
      <c r="D48" s="168">
        <v>669</v>
      </c>
      <c r="E48" s="168">
        <v>59</v>
      </c>
    </row>
    <row r="49" spans="1:5" ht="12.75">
      <c r="A49" s="167" t="s">
        <v>1619</v>
      </c>
      <c r="B49" s="168">
        <v>301</v>
      </c>
      <c r="C49" s="167" t="s">
        <v>1572</v>
      </c>
      <c r="D49" s="168">
        <v>696</v>
      </c>
      <c r="E49" s="168">
        <v>26</v>
      </c>
    </row>
    <row r="50" spans="1:5" ht="12.75">
      <c r="A50" s="167" t="s">
        <v>1620</v>
      </c>
      <c r="B50" s="168">
        <v>301</v>
      </c>
      <c r="C50" s="167" t="s">
        <v>1572</v>
      </c>
      <c r="D50" s="168">
        <v>575</v>
      </c>
      <c r="E50" s="168">
        <v>10</v>
      </c>
    </row>
    <row r="51" spans="1:5" ht="12.75">
      <c r="A51" s="167" t="s">
        <v>1621</v>
      </c>
      <c r="B51" s="168">
        <v>301</v>
      </c>
      <c r="C51" s="167" t="s">
        <v>1572</v>
      </c>
      <c r="D51" s="168">
        <v>80</v>
      </c>
      <c r="E51" s="168" t="s">
        <v>1083</v>
      </c>
    </row>
    <row r="52" spans="1:5" ht="12.75">
      <c r="A52" s="167" t="s">
        <v>1622</v>
      </c>
      <c r="B52" s="168">
        <v>301</v>
      </c>
      <c r="C52" s="167" t="s">
        <v>1572</v>
      </c>
      <c r="D52" s="168">
        <v>537</v>
      </c>
      <c r="E52" s="168">
        <v>62</v>
      </c>
    </row>
    <row r="53" spans="1:5" ht="12.75">
      <c r="A53" s="167" t="s">
        <v>1623</v>
      </c>
      <c r="B53" s="168">
        <v>301</v>
      </c>
      <c r="C53" s="167" t="s">
        <v>1572</v>
      </c>
      <c r="D53" s="168">
        <v>539</v>
      </c>
      <c r="E53" s="168">
        <v>7</v>
      </c>
    </row>
    <row r="54" spans="1:5" ht="12.75">
      <c r="A54" s="167" t="s">
        <v>1624</v>
      </c>
      <c r="B54" s="168">
        <v>301</v>
      </c>
      <c r="C54" s="167" t="s">
        <v>1572</v>
      </c>
      <c r="D54" s="168">
        <v>714</v>
      </c>
      <c r="E54" s="168">
        <v>61</v>
      </c>
    </row>
    <row r="55" spans="1:5" ht="12.75">
      <c r="A55" s="167" t="s">
        <v>1625</v>
      </c>
      <c r="B55" s="168">
        <v>301</v>
      </c>
      <c r="C55" s="167" t="s">
        <v>1572</v>
      </c>
      <c r="D55" s="168">
        <v>697</v>
      </c>
      <c r="E55" s="168">
        <v>63</v>
      </c>
    </row>
    <row r="56" spans="1:5" ht="12.75">
      <c r="A56" s="167" t="s">
        <v>1626</v>
      </c>
      <c r="B56" s="168">
        <v>301</v>
      </c>
      <c r="C56" s="167" t="s">
        <v>1572</v>
      </c>
      <c r="D56" s="168">
        <v>501</v>
      </c>
      <c r="E56" s="168">
        <v>11</v>
      </c>
    </row>
    <row r="57" spans="1:5" ht="12.75">
      <c r="A57" s="167" t="s">
        <v>1627</v>
      </c>
      <c r="B57" s="168">
        <v>301</v>
      </c>
      <c r="C57" s="167" t="s">
        <v>1572</v>
      </c>
      <c r="D57" s="168">
        <v>627</v>
      </c>
      <c r="E57" s="168">
        <v>64</v>
      </c>
    </row>
    <row r="58" spans="1:5" ht="12.75">
      <c r="A58" s="167" t="s">
        <v>1628</v>
      </c>
      <c r="B58" s="168">
        <v>301</v>
      </c>
      <c r="C58" s="167" t="s">
        <v>1572</v>
      </c>
      <c r="D58" s="168">
        <v>470</v>
      </c>
      <c r="E58" s="168">
        <v>2</v>
      </c>
    </row>
    <row r="59" spans="1:5" ht="12.75">
      <c r="A59" s="167" t="s">
        <v>1629</v>
      </c>
      <c r="B59" s="168">
        <v>301</v>
      </c>
      <c r="C59" s="167" t="s">
        <v>1572</v>
      </c>
      <c r="D59" s="168">
        <v>502</v>
      </c>
      <c r="E59" s="168">
        <v>65</v>
      </c>
    </row>
    <row r="60" spans="1:5" ht="12.75">
      <c r="A60" s="167" t="s">
        <v>1630</v>
      </c>
      <c r="B60" s="168">
        <v>301</v>
      </c>
      <c r="C60" s="167" t="s">
        <v>1572</v>
      </c>
      <c r="D60" s="168">
        <v>630</v>
      </c>
      <c r="E60" s="168">
        <v>67</v>
      </c>
    </row>
    <row r="61" spans="1:5" ht="12.75">
      <c r="A61" s="167" t="s">
        <v>1631</v>
      </c>
      <c r="B61" s="168">
        <v>301</v>
      </c>
      <c r="C61" s="167" t="s">
        <v>1572</v>
      </c>
      <c r="D61" s="168">
        <v>728</v>
      </c>
      <c r="E61" s="168">
        <v>15</v>
      </c>
    </row>
    <row r="62" spans="1:5" ht="12.75">
      <c r="A62" s="167" t="s">
        <v>1632</v>
      </c>
      <c r="B62" s="168">
        <v>301</v>
      </c>
      <c r="C62" s="167" t="s">
        <v>1572</v>
      </c>
      <c r="D62" s="168">
        <v>730</v>
      </c>
      <c r="E62" s="168">
        <v>16</v>
      </c>
    </row>
    <row r="63" spans="1:5" ht="12.75">
      <c r="A63" s="167" t="s">
        <v>1633</v>
      </c>
      <c r="B63" s="168">
        <v>301</v>
      </c>
      <c r="C63" s="167" t="s">
        <v>1572</v>
      </c>
      <c r="D63" s="168">
        <v>729</v>
      </c>
      <c r="E63" s="168">
        <v>66</v>
      </c>
    </row>
    <row r="64" spans="1:5" ht="12.75">
      <c r="A64" s="167" t="s">
        <v>1634</v>
      </c>
      <c r="B64" s="168">
        <v>301</v>
      </c>
      <c r="C64" s="167" t="s">
        <v>1572</v>
      </c>
      <c r="D64" s="168">
        <v>3</v>
      </c>
      <c r="E64" s="168">
        <v>68</v>
      </c>
    </row>
    <row r="65" spans="1:5" ht="12.75">
      <c r="A65" s="167" t="s">
        <v>1635</v>
      </c>
      <c r="B65" s="168">
        <v>301</v>
      </c>
      <c r="C65" s="167" t="s">
        <v>1572</v>
      </c>
      <c r="D65" s="168">
        <v>504</v>
      </c>
      <c r="E65" s="168">
        <v>69</v>
      </c>
    </row>
    <row r="66" spans="1:5" ht="12.75">
      <c r="A66" s="167" t="s">
        <v>1636</v>
      </c>
      <c r="B66" s="168">
        <v>301</v>
      </c>
      <c r="C66" s="167" t="s">
        <v>1572</v>
      </c>
      <c r="D66" s="168">
        <v>12</v>
      </c>
      <c r="E66" s="168">
        <v>70</v>
      </c>
    </row>
    <row r="67" spans="1:5" ht="12.75">
      <c r="A67" s="167" t="s">
        <v>1637</v>
      </c>
      <c r="B67" s="168">
        <v>301</v>
      </c>
      <c r="C67" s="167" t="s">
        <v>1572</v>
      </c>
      <c r="D67" s="168">
        <v>698</v>
      </c>
      <c r="E67" s="168">
        <v>71</v>
      </c>
    </row>
    <row r="68" spans="1:5" ht="12.75">
      <c r="A68" s="167" t="s">
        <v>1638</v>
      </c>
      <c r="B68" s="168">
        <v>301</v>
      </c>
      <c r="C68" s="167" t="s">
        <v>1572</v>
      </c>
      <c r="D68" s="168">
        <v>699</v>
      </c>
      <c r="E68" s="168" t="s">
        <v>1083</v>
      </c>
    </row>
    <row r="69" spans="1:5" ht="12.75">
      <c r="A69" s="167" t="s">
        <v>1639</v>
      </c>
      <c r="B69" s="168">
        <v>301</v>
      </c>
      <c r="C69" s="167" t="s">
        <v>1572</v>
      </c>
      <c r="D69" s="168">
        <v>723</v>
      </c>
      <c r="E69" s="168" t="s">
        <v>1083</v>
      </c>
    </row>
    <row r="70" spans="1:5" ht="12.75">
      <c r="A70" s="167" t="s">
        <v>1640</v>
      </c>
      <c r="B70" s="168">
        <v>301</v>
      </c>
      <c r="C70" s="167" t="s">
        <v>1572</v>
      </c>
      <c r="D70" s="168">
        <v>700</v>
      </c>
      <c r="E70" s="168">
        <v>12</v>
      </c>
    </row>
    <row r="71" spans="1:5" ht="12.75">
      <c r="A71" s="167" t="s">
        <v>1641</v>
      </c>
      <c r="B71" s="168">
        <v>301</v>
      </c>
      <c r="C71" s="167" t="s">
        <v>1572</v>
      </c>
      <c r="D71" s="168">
        <v>701</v>
      </c>
      <c r="E71" s="168">
        <v>21</v>
      </c>
    </row>
    <row r="72" spans="1:5" ht="12.75">
      <c r="A72" s="167" t="s">
        <v>1642</v>
      </c>
      <c r="B72" s="168">
        <v>301</v>
      </c>
      <c r="C72" s="167" t="s">
        <v>1572</v>
      </c>
      <c r="D72" s="168">
        <v>686</v>
      </c>
      <c r="E72" s="168">
        <v>74</v>
      </c>
    </row>
    <row r="73" spans="1:5" ht="12.75">
      <c r="A73" s="167" t="s">
        <v>1643</v>
      </c>
      <c r="B73" s="168">
        <v>301</v>
      </c>
      <c r="C73" s="167" t="s">
        <v>1572</v>
      </c>
      <c r="D73" s="168">
        <v>720</v>
      </c>
      <c r="E73" s="168">
        <v>75</v>
      </c>
    </row>
    <row r="74" spans="1:5" ht="12.75">
      <c r="A74" s="167" t="s">
        <v>1644</v>
      </c>
      <c r="B74" s="168">
        <v>301</v>
      </c>
      <c r="C74" s="167" t="s">
        <v>1572</v>
      </c>
      <c r="D74" s="168">
        <v>28</v>
      </c>
      <c r="E74" s="168">
        <v>76</v>
      </c>
    </row>
    <row r="75" spans="1:5" ht="12.75">
      <c r="A75" s="167" t="s">
        <v>1645</v>
      </c>
      <c r="B75" s="168">
        <v>301</v>
      </c>
      <c r="C75" s="167" t="s">
        <v>1572</v>
      </c>
      <c r="D75" s="168">
        <v>656</v>
      </c>
      <c r="E75" s="168">
        <v>77</v>
      </c>
    </row>
    <row r="76" spans="1:5" ht="12.75">
      <c r="A76" s="167" t="s">
        <v>1646</v>
      </c>
      <c r="B76" s="168">
        <v>301</v>
      </c>
      <c r="C76" s="167" t="s">
        <v>1572</v>
      </c>
      <c r="D76" s="168">
        <v>401</v>
      </c>
      <c r="E76" s="168">
        <v>25</v>
      </c>
    </row>
    <row r="77" spans="1:5" ht="12.75">
      <c r="A77" s="167" t="s">
        <v>1647</v>
      </c>
      <c r="B77" s="168">
        <v>301</v>
      </c>
      <c r="C77" s="167" t="s">
        <v>1572</v>
      </c>
      <c r="D77" s="168">
        <v>711</v>
      </c>
      <c r="E77" s="168">
        <v>79</v>
      </c>
    </row>
    <row r="78" spans="1:5" ht="12.75">
      <c r="A78" s="167" t="s">
        <v>1648</v>
      </c>
      <c r="B78" s="168">
        <v>301</v>
      </c>
      <c r="C78" s="167" t="s">
        <v>1572</v>
      </c>
      <c r="D78" s="168">
        <v>705</v>
      </c>
      <c r="E78" s="168" t="s">
        <v>1083</v>
      </c>
    </row>
    <row r="79" spans="1:5" ht="12.75">
      <c r="A79" s="167" t="s">
        <v>1649</v>
      </c>
      <c r="B79" s="168">
        <v>301</v>
      </c>
      <c r="C79" s="167" t="s">
        <v>1572</v>
      </c>
      <c r="D79" s="168">
        <v>706</v>
      </c>
      <c r="E79" s="168">
        <v>81</v>
      </c>
    </row>
    <row r="80" spans="1:5" ht="12.75">
      <c r="A80" s="167" t="s">
        <v>1650</v>
      </c>
      <c r="B80" s="168">
        <v>301</v>
      </c>
      <c r="C80" s="167" t="s">
        <v>1572</v>
      </c>
      <c r="D80" s="168">
        <v>682</v>
      </c>
      <c r="E80" s="168">
        <v>82</v>
      </c>
    </row>
    <row r="81" spans="1:5" ht="12.75">
      <c r="A81" s="167" t="s">
        <v>1651</v>
      </c>
      <c r="B81" s="168">
        <v>301</v>
      </c>
      <c r="C81" s="167" t="s">
        <v>1572</v>
      </c>
      <c r="D81" s="168">
        <v>375</v>
      </c>
      <c r="E81" s="168">
        <v>84</v>
      </c>
    </row>
    <row r="82" spans="1:5" ht="12.75">
      <c r="A82" s="167" t="s">
        <v>1652</v>
      </c>
      <c r="B82" s="168">
        <v>301</v>
      </c>
      <c r="C82" s="167" t="s">
        <v>1572</v>
      </c>
      <c r="D82" s="168">
        <v>5</v>
      </c>
      <c r="E82" s="168">
        <v>83</v>
      </c>
    </row>
    <row r="83" spans="1:5" ht="12.75">
      <c r="A83" s="167" t="s">
        <v>1653</v>
      </c>
      <c r="B83" s="168">
        <v>301</v>
      </c>
      <c r="C83" s="167" t="s">
        <v>1572</v>
      </c>
      <c r="D83" s="168">
        <v>727</v>
      </c>
      <c r="E83" s="168">
        <v>85</v>
      </c>
    </row>
    <row r="84" spans="1:5" ht="12.75">
      <c r="A84" s="167" t="s">
        <v>1654</v>
      </c>
      <c r="B84" s="168">
        <v>301</v>
      </c>
      <c r="C84" s="167" t="s">
        <v>1572</v>
      </c>
      <c r="D84" s="168">
        <v>721</v>
      </c>
      <c r="E84" s="168">
        <v>87</v>
      </c>
    </row>
    <row r="85" spans="1:5" ht="12.75">
      <c r="A85" s="167" t="s">
        <v>1655</v>
      </c>
      <c r="B85" s="168">
        <v>301</v>
      </c>
      <c r="C85" s="167" t="s">
        <v>1572</v>
      </c>
      <c r="D85" s="168">
        <v>6</v>
      </c>
      <c r="E85" s="168">
        <v>24</v>
      </c>
    </row>
    <row r="86" spans="1:5" ht="12.75">
      <c r="A86" s="167" t="s">
        <v>1656</v>
      </c>
      <c r="B86" s="168">
        <v>301</v>
      </c>
      <c r="C86" s="167" t="s">
        <v>1572</v>
      </c>
      <c r="D86" s="168">
        <v>511</v>
      </c>
      <c r="E86" s="168">
        <v>88</v>
      </c>
    </row>
    <row r="87" spans="1:5" ht="12.75">
      <c r="A87" s="167" t="s">
        <v>1657</v>
      </c>
      <c r="B87" s="168">
        <v>301</v>
      </c>
      <c r="C87" s="167" t="s">
        <v>1572</v>
      </c>
      <c r="D87" s="168">
        <v>707</v>
      </c>
      <c r="E87" s="168">
        <v>90</v>
      </c>
    </row>
    <row r="88" spans="1:5" ht="12.75">
      <c r="A88" s="167" t="s">
        <v>1658</v>
      </c>
      <c r="B88" s="168">
        <v>301</v>
      </c>
      <c r="C88" s="167" t="s">
        <v>1572</v>
      </c>
      <c r="D88" s="168">
        <v>725</v>
      </c>
      <c r="E88" s="168">
        <v>91</v>
      </c>
    </row>
    <row r="89" spans="1:5" ht="12.75">
      <c r="A89" s="167" t="s">
        <v>1659</v>
      </c>
      <c r="B89" s="168">
        <v>301</v>
      </c>
      <c r="C89" s="167" t="s">
        <v>1572</v>
      </c>
      <c r="D89" s="168">
        <v>679</v>
      </c>
      <c r="E89" s="168">
        <v>9</v>
      </c>
    </row>
    <row r="90" spans="1:5" ht="12.75">
      <c r="A90" s="167" t="s">
        <v>1660</v>
      </c>
      <c r="B90" s="168">
        <v>301</v>
      </c>
      <c r="C90" s="167" t="s">
        <v>1572</v>
      </c>
      <c r="D90" s="168">
        <v>482</v>
      </c>
      <c r="E90" s="168">
        <v>92</v>
      </c>
    </row>
    <row r="91" spans="1:5" ht="12.75">
      <c r="A91" s="167" t="s">
        <v>1661</v>
      </c>
      <c r="B91" s="168">
        <v>301</v>
      </c>
      <c r="C91" s="167" t="s">
        <v>1572</v>
      </c>
      <c r="D91" s="168">
        <v>658</v>
      </c>
      <c r="E91" s="168">
        <v>94</v>
      </c>
    </row>
    <row r="92" spans="1:5" ht="12.75">
      <c r="A92" s="167" t="s">
        <v>1662</v>
      </c>
      <c r="B92" s="168">
        <v>301</v>
      </c>
      <c r="C92" s="167" t="s">
        <v>1572</v>
      </c>
      <c r="D92" s="168">
        <v>639</v>
      </c>
      <c r="E92" s="168">
        <v>95</v>
      </c>
    </row>
    <row r="93" spans="1:5" ht="12.75">
      <c r="A93" s="167" t="s">
        <v>1663</v>
      </c>
      <c r="B93" s="168">
        <v>301</v>
      </c>
      <c r="C93" s="167" t="s">
        <v>1572</v>
      </c>
      <c r="D93" s="168">
        <v>617</v>
      </c>
      <c r="E93" s="168">
        <v>96</v>
      </c>
    </row>
    <row r="94" spans="1:5" ht="12.75">
      <c r="A94" s="167" t="s">
        <v>1664</v>
      </c>
      <c r="B94" s="168">
        <v>301</v>
      </c>
      <c r="C94" s="167" t="s">
        <v>1572</v>
      </c>
      <c r="D94" s="168">
        <v>688</v>
      </c>
      <c r="E94" s="168" t="s">
        <v>1083</v>
      </c>
    </row>
    <row r="95" spans="1:5" ht="12.75">
      <c r="A95" s="167" t="s">
        <v>1665</v>
      </c>
      <c r="B95" s="168">
        <v>301</v>
      </c>
      <c r="C95" s="167" t="s">
        <v>1572</v>
      </c>
      <c r="D95" s="168">
        <v>717</v>
      </c>
      <c r="E95" s="168" t="s">
        <v>1083</v>
      </c>
    </row>
    <row r="96" spans="1:5" ht="12.75">
      <c r="A96" s="167" t="s">
        <v>1666</v>
      </c>
      <c r="B96" s="168">
        <v>301</v>
      </c>
      <c r="C96" s="167" t="s">
        <v>1572</v>
      </c>
      <c r="D96" s="168">
        <v>515</v>
      </c>
      <c r="E96" s="168">
        <v>98</v>
      </c>
    </row>
    <row r="97" spans="1:5" ht="12.75">
      <c r="A97" s="167" t="s">
        <v>1667</v>
      </c>
      <c r="B97" s="168">
        <v>301</v>
      </c>
      <c r="C97" s="167" t="s">
        <v>1572</v>
      </c>
      <c r="D97" s="168">
        <v>718</v>
      </c>
      <c r="E97" s="168">
        <v>99</v>
      </c>
    </row>
    <row r="98" spans="1:5" ht="12.75">
      <c r="A98" s="167" t="s">
        <v>1668</v>
      </c>
      <c r="B98" s="168">
        <v>301</v>
      </c>
      <c r="C98" s="167" t="s">
        <v>1572</v>
      </c>
      <c r="D98" s="168">
        <v>9</v>
      </c>
      <c r="E98" s="168">
        <v>100</v>
      </c>
    </row>
    <row r="99" spans="1:5" ht="12.75">
      <c r="A99" s="167" t="s">
        <v>1669</v>
      </c>
      <c r="B99" s="168">
        <v>301</v>
      </c>
      <c r="C99" s="167" t="s">
        <v>1572</v>
      </c>
      <c r="D99" s="168">
        <v>8</v>
      </c>
      <c r="E99" s="168">
        <v>101</v>
      </c>
    </row>
    <row r="100" spans="1:5" ht="12.75">
      <c r="A100" s="167" t="s">
        <v>1670</v>
      </c>
      <c r="B100" s="168">
        <v>301</v>
      </c>
      <c r="C100" s="167" t="s">
        <v>1572</v>
      </c>
      <c r="D100" s="168">
        <v>10</v>
      </c>
      <c r="E100" s="168">
        <v>102</v>
      </c>
    </row>
    <row r="101" spans="1:5" ht="12.75">
      <c r="A101" s="167" t="s">
        <v>1671</v>
      </c>
      <c r="B101" s="168">
        <v>301</v>
      </c>
      <c r="C101" s="167" t="s">
        <v>1572</v>
      </c>
      <c r="D101" s="168">
        <v>716</v>
      </c>
      <c r="E101" s="168">
        <v>4</v>
      </c>
    </row>
    <row r="102" spans="1:5" ht="12.75">
      <c r="A102" s="167" t="s">
        <v>1672</v>
      </c>
      <c r="B102" s="168">
        <v>301</v>
      </c>
      <c r="C102" s="167" t="s">
        <v>1572</v>
      </c>
      <c r="D102" s="168">
        <v>14</v>
      </c>
      <c r="E102" s="168">
        <v>104</v>
      </c>
    </row>
    <row r="103" spans="1:5" ht="12.75">
      <c r="A103" s="167" t="s">
        <v>1673</v>
      </c>
      <c r="B103" s="168">
        <v>301</v>
      </c>
      <c r="C103" s="167" t="s">
        <v>1572</v>
      </c>
      <c r="D103" s="168">
        <v>559</v>
      </c>
      <c r="E103" s="168">
        <v>105</v>
      </c>
    </row>
    <row r="104" spans="1:5" ht="12.75">
      <c r="A104" s="167" t="s">
        <v>1674</v>
      </c>
      <c r="B104" s="168">
        <v>301</v>
      </c>
      <c r="C104" s="167" t="s">
        <v>1572</v>
      </c>
      <c r="D104" s="168">
        <v>726</v>
      </c>
      <c r="E104" s="168">
        <v>106</v>
      </c>
    </row>
    <row r="105" spans="1:5" ht="12.75">
      <c r="A105" s="167" t="s">
        <v>1675</v>
      </c>
      <c r="B105" s="168">
        <v>302</v>
      </c>
      <c r="C105" s="167" t="s">
        <v>1676</v>
      </c>
      <c r="D105" s="168">
        <v>385</v>
      </c>
      <c r="E105" s="168" t="s">
        <v>1083</v>
      </c>
    </row>
    <row r="106" spans="1:5" ht="12.75">
      <c r="A106" s="167" t="s">
        <v>1677</v>
      </c>
      <c r="B106" s="168">
        <v>302</v>
      </c>
      <c r="C106" s="167" t="s">
        <v>1676</v>
      </c>
      <c r="D106" s="168">
        <v>393</v>
      </c>
      <c r="E106" s="168" t="s">
        <v>1083</v>
      </c>
    </row>
    <row r="107" spans="1:5" ht="12.75">
      <c r="A107" s="167" t="s">
        <v>1678</v>
      </c>
      <c r="B107" s="168">
        <v>302</v>
      </c>
      <c r="C107" s="167" t="s">
        <v>1676</v>
      </c>
      <c r="D107" s="168">
        <v>400</v>
      </c>
      <c r="E107" s="168" t="s">
        <v>1083</v>
      </c>
    </row>
    <row r="108" spans="1:5" ht="12.75">
      <c r="A108" s="167" t="s">
        <v>1679</v>
      </c>
      <c r="B108" s="168">
        <v>302</v>
      </c>
      <c r="C108" s="167" t="s">
        <v>1676</v>
      </c>
      <c r="D108" s="168">
        <v>374</v>
      </c>
      <c r="E108" s="168">
        <v>1</v>
      </c>
    </row>
    <row r="109" spans="1:5" ht="12.75">
      <c r="A109" s="167" t="s">
        <v>1587</v>
      </c>
      <c r="B109" s="168">
        <v>302</v>
      </c>
      <c r="C109" s="167" t="s">
        <v>1676</v>
      </c>
      <c r="D109" s="168">
        <v>59</v>
      </c>
      <c r="E109" s="168" t="s">
        <v>1083</v>
      </c>
    </row>
    <row r="110" spans="1:5" ht="12.75">
      <c r="A110" s="167" t="s">
        <v>1683</v>
      </c>
      <c r="B110" s="168">
        <v>302</v>
      </c>
      <c r="C110" s="167" t="s">
        <v>1676</v>
      </c>
      <c r="D110" s="168">
        <v>358</v>
      </c>
      <c r="E110" s="168" t="s">
        <v>1083</v>
      </c>
    </row>
    <row r="111" spans="1:5" ht="12.75">
      <c r="A111" s="167" t="s">
        <v>1684</v>
      </c>
      <c r="B111" s="168">
        <v>302</v>
      </c>
      <c r="C111" s="167" t="s">
        <v>1676</v>
      </c>
      <c r="D111" s="168">
        <v>198</v>
      </c>
      <c r="E111" s="168" t="s">
        <v>1083</v>
      </c>
    </row>
    <row r="112" spans="1:5" ht="12.75">
      <c r="A112" s="167" t="s">
        <v>1596</v>
      </c>
      <c r="B112" s="168">
        <v>302</v>
      </c>
      <c r="C112" s="167" t="s">
        <v>1676</v>
      </c>
      <c r="D112" s="168">
        <v>399</v>
      </c>
      <c r="E112" s="168" t="s">
        <v>1083</v>
      </c>
    </row>
    <row r="113" spans="1:5" ht="12.75">
      <c r="A113" s="167" t="s">
        <v>1685</v>
      </c>
      <c r="B113" s="168">
        <v>302</v>
      </c>
      <c r="C113" s="167" t="s">
        <v>1676</v>
      </c>
      <c r="D113" s="168">
        <v>388</v>
      </c>
      <c r="E113" s="168">
        <v>9</v>
      </c>
    </row>
    <row r="114" spans="1:5" ht="12.75">
      <c r="A114" s="167" t="s">
        <v>1686</v>
      </c>
      <c r="B114" s="168">
        <v>302</v>
      </c>
      <c r="C114" s="167" t="s">
        <v>1676</v>
      </c>
      <c r="D114" s="168">
        <v>395</v>
      </c>
      <c r="E114" s="168" t="s">
        <v>1083</v>
      </c>
    </row>
    <row r="115" spans="1:5" ht="12.75">
      <c r="A115" s="167" t="s">
        <v>1687</v>
      </c>
      <c r="B115" s="168">
        <v>302</v>
      </c>
      <c r="C115" s="167" t="s">
        <v>1676</v>
      </c>
      <c r="D115" s="168">
        <v>398</v>
      </c>
      <c r="E115" s="168" t="s">
        <v>1083</v>
      </c>
    </row>
    <row r="116" spans="1:5" ht="12.75">
      <c r="A116" s="167" t="s">
        <v>1688</v>
      </c>
      <c r="B116" s="168">
        <v>302</v>
      </c>
      <c r="C116" s="167" t="s">
        <v>1676</v>
      </c>
      <c r="D116" s="168">
        <v>386</v>
      </c>
      <c r="E116" s="168" t="s">
        <v>1083</v>
      </c>
    </row>
    <row r="117" spans="1:5" ht="12.75">
      <c r="A117" s="167" t="s">
        <v>1689</v>
      </c>
      <c r="B117" s="168">
        <v>302</v>
      </c>
      <c r="C117" s="167" t="s">
        <v>1676</v>
      </c>
      <c r="D117" s="168">
        <v>354</v>
      </c>
      <c r="E117" s="168" t="s">
        <v>1083</v>
      </c>
    </row>
    <row r="118" spans="1:5" ht="12.75">
      <c r="A118" s="167" t="s">
        <v>1690</v>
      </c>
      <c r="B118" s="168">
        <v>302</v>
      </c>
      <c r="C118" s="167" t="s">
        <v>1676</v>
      </c>
      <c r="D118" s="168">
        <v>324</v>
      </c>
      <c r="E118" s="168" t="s">
        <v>1083</v>
      </c>
    </row>
    <row r="119" spans="1:5" ht="12.75">
      <c r="A119" s="167" t="s">
        <v>1691</v>
      </c>
      <c r="B119" s="168">
        <v>302</v>
      </c>
      <c r="C119" s="167" t="s">
        <v>1676</v>
      </c>
      <c r="D119" s="168">
        <v>378</v>
      </c>
      <c r="E119" s="168" t="s">
        <v>1083</v>
      </c>
    </row>
    <row r="120" spans="1:5" ht="12.75">
      <c r="A120" s="167" t="s">
        <v>1692</v>
      </c>
      <c r="B120" s="168">
        <v>302</v>
      </c>
      <c r="C120" s="167" t="s">
        <v>1676</v>
      </c>
      <c r="D120" s="168">
        <v>392</v>
      </c>
      <c r="E120" s="168">
        <v>12</v>
      </c>
    </row>
    <row r="121" spans="1:5" ht="12.75">
      <c r="A121" s="167" t="s">
        <v>1693</v>
      </c>
      <c r="B121" s="168">
        <v>302</v>
      </c>
      <c r="C121" s="167" t="s">
        <v>1676</v>
      </c>
      <c r="D121" s="168">
        <v>396</v>
      </c>
      <c r="E121" s="168" t="s">
        <v>1083</v>
      </c>
    </row>
    <row r="122" spans="1:5" ht="12.75">
      <c r="A122" s="167" t="s">
        <v>1694</v>
      </c>
      <c r="B122" s="168">
        <v>302</v>
      </c>
      <c r="C122" s="167" t="s">
        <v>1676</v>
      </c>
      <c r="D122" s="168">
        <v>397</v>
      </c>
      <c r="E122" s="168">
        <v>11</v>
      </c>
    </row>
    <row r="123" spans="1:5" ht="12.75">
      <c r="A123" s="167" t="s">
        <v>1695</v>
      </c>
      <c r="B123" s="168">
        <v>302</v>
      </c>
      <c r="C123" s="167" t="s">
        <v>1676</v>
      </c>
      <c r="D123" s="168">
        <v>377</v>
      </c>
      <c r="E123" s="168" t="s">
        <v>1083</v>
      </c>
    </row>
    <row r="124" spans="1:5" ht="12.75">
      <c r="A124" s="167" t="s">
        <v>1696</v>
      </c>
      <c r="B124" s="168">
        <v>302</v>
      </c>
      <c r="C124" s="167" t="s">
        <v>1676</v>
      </c>
      <c r="D124" s="168">
        <v>380</v>
      </c>
      <c r="E124" s="168">
        <v>10</v>
      </c>
    </row>
    <row r="125" spans="1:5" ht="12.75">
      <c r="A125" s="167" t="s">
        <v>1697</v>
      </c>
      <c r="B125" s="168">
        <v>302</v>
      </c>
      <c r="C125" s="167" t="s">
        <v>1676</v>
      </c>
      <c r="D125" s="168">
        <v>390</v>
      </c>
      <c r="E125" s="168" t="s">
        <v>1083</v>
      </c>
    </row>
    <row r="126" spans="1:5" ht="12.75">
      <c r="A126" s="167" t="s">
        <v>1698</v>
      </c>
      <c r="B126" s="168">
        <v>302</v>
      </c>
      <c r="C126" s="167" t="s">
        <v>1676</v>
      </c>
      <c r="D126" s="168">
        <v>391</v>
      </c>
      <c r="E126" s="168" t="s">
        <v>1083</v>
      </c>
    </row>
    <row r="127" spans="1:5" ht="12.75">
      <c r="A127" s="167" t="s">
        <v>1699</v>
      </c>
      <c r="B127" s="168">
        <v>302</v>
      </c>
      <c r="C127" s="167" t="s">
        <v>1676</v>
      </c>
      <c r="D127" s="168">
        <v>382</v>
      </c>
      <c r="E127" s="168">
        <v>6</v>
      </c>
    </row>
    <row r="128" spans="1:5" ht="12.75">
      <c r="A128" s="167" t="s">
        <v>1700</v>
      </c>
      <c r="B128" s="168">
        <v>302</v>
      </c>
      <c r="C128" s="167" t="s">
        <v>1676</v>
      </c>
      <c r="D128" s="168">
        <v>401</v>
      </c>
      <c r="E128" s="168">
        <v>3</v>
      </c>
    </row>
    <row r="129" spans="1:5" ht="12.75">
      <c r="A129" s="167" t="s">
        <v>1701</v>
      </c>
      <c r="B129" s="168">
        <v>302</v>
      </c>
      <c r="C129" s="167" t="s">
        <v>1676</v>
      </c>
      <c r="D129" s="168">
        <v>402</v>
      </c>
      <c r="E129" s="168">
        <v>4</v>
      </c>
    </row>
    <row r="130" spans="1:5" ht="12.75">
      <c r="A130" s="167" t="s">
        <v>1702</v>
      </c>
      <c r="B130" s="168">
        <v>302</v>
      </c>
      <c r="C130" s="167" t="s">
        <v>1676</v>
      </c>
      <c r="D130" s="168">
        <v>375</v>
      </c>
      <c r="E130" s="168" t="s">
        <v>1083</v>
      </c>
    </row>
    <row r="131" spans="1:5" ht="12.75">
      <c r="A131" s="167" t="s">
        <v>1703</v>
      </c>
      <c r="B131" s="168">
        <v>302</v>
      </c>
      <c r="C131" s="167" t="s">
        <v>1676</v>
      </c>
      <c r="D131" s="168">
        <v>403</v>
      </c>
      <c r="E131" s="168">
        <v>14</v>
      </c>
    </row>
    <row r="132" spans="1:5" ht="12.75">
      <c r="A132" s="167" t="s">
        <v>1704</v>
      </c>
      <c r="B132" s="168">
        <v>302</v>
      </c>
      <c r="C132" s="167" t="s">
        <v>1676</v>
      </c>
      <c r="D132" s="168">
        <v>410</v>
      </c>
      <c r="E132" s="168">
        <v>15</v>
      </c>
    </row>
    <row r="133" spans="1:5" ht="12.75">
      <c r="A133" s="167" t="s">
        <v>1705</v>
      </c>
      <c r="B133" s="168">
        <v>302</v>
      </c>
      <c r="C133" s="167" t="s">
        <v>1676</v>
      </c>
      <c r="D133" s="168">
        <v>409</v>
      </c>
      <c r="E133" s="168">
        <v>8</v>
      </c>
    </row>
    <row r="134" spans="1:5" ht="12.75">
      <c r="A134" s="167" t="s">
        <v>1706</v>
      </c>
      <c r="B134" s="168">
        <v>302</v>
      </c>
      <c r="C134" s="167" t="s">
        <v>1676</v>
      </c>
      <c r="D134" s="168">
        <v>404</v>
      </c>
      <c r="E134" s="168" t="s">
        <v>1083</v>
      </c>
    </row>
    <row r="135" spans="1:5" ht="12.75">
      <c r="A135" s="167" t="s">
        <v>1707</v>
      </c>
      <c r="B135" s="168">
        <v>302</v>
      </c>
      <c r="C135" s="167" t="s">
        <v>1676</v>
      </c>
      <c r="D135" s="168">
        <v>365</v>
      </c>
      <c r="E135" s="168" t="s">
        <v>1083</v>
      </c>
    </row>
    <row r="136" spans="1:5" ht="12.75">
      <c r="A136" s="167" t="s">
        <v>1708</v>
      </c>
      <c r="B136" s="168">
        <v>302</v>
      </c>
      <c r="C136" s="167" t="s">
        <v>1676</v>
      </c>
      <c r="D136" s="168">
        <v>220</v>
      </c>
      <c r="E136" s="168" t="s">
        <v>1083</v>
      </c>
    </row>
    <row r="137" spans="1:5" ht="12.75">
      <c r="A137" s="167" t="s">
        <v>1709</v>
      </c>
      <c r="B137" s="168">
        <v>302</v>
      </c>
      <c r="C137" s="167" t="s">
        <v>1676</v>
      </c>
      <c r="D137" s="168">
        <v>356</v>
      </c>
      <c r="E137" s="168">
        <v>7</v>
      </c>
    </row>
    <row r="138" spans="1:5" ht="12.75">
      <c r="A138" s="167" t="s">
        <v>1710</v>
      </c>
      <c r="B138" s="168">
        <v>302</v>
      </c>
      <c r="C138" s="167" t="s">
        <v>1676</v>
      </c>
      <c r="D138" s="168">
        <v>42</v>
      </c>
      <c r="E138" s="168">
        <v>5</v>
      </c>
    </row>
    <row r="139" spans="1:5" ht="12.75">
      <c r="A139" s="167" t="s">
        <v>1711</v>
      </c>
      <c r="B139" s="168">
        <v>302</v>
      </c>
      <c r="C139" s="167" t="s">
        <v>1676</v>
      </c>
      <c r="D139" s="168">
        <v>387</v>
      </c>
      <c r="E139" s="168" t="s">
        <v>1083</v>
      </c>
    </row>
    <row r="140" spans="1:5" ht="12.75">
      <c r="A140" s="167" t="s">
        <v>1712</v>
      </c>
      <c r="B140" s="168">
        <v>302</v>
      </c>
      <c r="C140" s="167" t="s">
        <v>1676</v>
      </c>
      <c r="D140" s="168">
        <v>142</v>
      </c>
      <c r="E140" s="168" t="s">
        <v>1083</v>
      </c>
    </row>
    <row r="141" spans="1:5" ht="12.75">
      <c r="A141" s="167" t="s">
        <v>1713</v>
      </c>
      <c r="B141" s="168">
        <v>302</v>
      </c>
      <c r="C141" s="167" t="s">
        <v>1676</v>
      </c>
      <c r="D141" s="168">
        <v>405</v>
      </c>
      <c r="E141" s="168" t="s">
        <v>1083</v>
      </c>
    </row>
    <row r="142" spans="1:5" ht="12.75">
      <c r="A142" s="167" t="s">
        <v>1714</v>
      </c>
      <c r="B142" s="168">
        <v>302</v>
      </c>
      <c r="C142" s="167" t="s">
        <v>1676</v>
      </c>
      <c r="D142" s="168">
        <v>349</v>
      </c>
      <c r="E142" s="168" t="s">
        <v>1083</v>
      </c>
    </row>
    <row r="143" spans="1:5" ht="12.75">
      <c r="A143" s="167" t="s">
        <v>1715</v>
      </c>
      <c r="B143" s="168">
        <v>302</v>
      </c>
      <c r="C143" s="167" t="s">
        <v>1676</v>
      </c>
      <c r="D143" s="168">
        <v>408</v>
      </c>
      <c r="E143" s="168">
        <v>13</v>
      </c>
    </row>
    <row r="144" spans="1:5" ht="12.75">
      <c r="A144" s="167" t="s">
        <v>1716</v>
      </c>
      <c r="B144" s="168">
        <v>302</v>
      </c>
      <c r="C144" s="167" t="s">
        <v>1676</v>
      </c>
      <c r="D144" s="168">
        <v>407</v>
      </c>
      <c r="E144" s="168">
        <v>2</v>
      </c>
    </row>
    <row r="145" spans="1:5" ht="12.75">
      <c r="A145" s="167" t="s">
        <v>1717</v>
      </c>
      <c r="B145" s="168">
        <v>302</v>
      </c>
      <c r="C145" s="167" t="s">
        <v>1676</v>
      </c>
      <c r="D145" s="168">
        <v>406</v>
      </c>
      <c r="E145" s="168">
        <v>17</v>
      </c>
    </row>
    <row r="146" spans="1:5" ht="12.75">
      <c r="A146" s="167" t="s">
        <v>1718</v>
      </c>
      <c r="B146" s="168">
        <v>302</v>
      </c>
      <c r="C146" s="167" t="s">
        <v>1676</v>
      </c>
      <c r="D146" s="168">
        <v>225</v>
      </c>
      <c r="E146" s="168" t="s">
        <v>1083</v>
      </c>
    </row>
    <row r="147" spans="1:5" ht="12.75">
      <c r="A147" s="167" t="s">
        <v>1719</v>
      </c>
      <c r="B147" s="168">
        <v>302</v>
      </c>
      <c r="C147" s="167" t="s">
        <v>1676</v>
      </c>
      <c r="D147" s="168">
        <v>275</v>
      </c>
      <c r="E147" s="168" t="s">
        <v>1083</v>
      </c>
    </row>
    <row r="148" spans="1:5" ht="12.75">
      <c r="A148" s="167" t="s">
        <v>1720</v>
      </c>
      <c r="B148" s="168">
        <v>302</v>
      </c>
      <c r="C148" s="167" t="s">
        <v>1676</v>
      </c>
      <c r="D148" s="168">
        <v>31</v>
      </c>
      <c r="E148" s="168" t="s">
        <v>1083</v>
      </c>
    </row>
    <row r="149" spans="1:5" ht="12.75">
      <c r="A149" s="167" t="s">
        <v>1721</v>
      </c>
      <c r="B149" s="168">
        <v>302</v>
      </c>
      <c r="C149" s="167" t="s">
        <v>1676</v>
      </c>
      <c r="D149" s="168">
        <v>389</v>
      </c>
      <c r="E149" s="168" t="s">
        <v>1083</v>
      </c>
    </row>
    <row r="150" spans="1:5" ht="12.75">
      <c r="A150" s="167" t="s">
        <v>1722</v>
      </c>
      <c r="B150" s="168">
        <v>302</v>
      </c>
      <c r="C150" s="167" t="s">
        <v>1676</v>
      </c>
      <c r="D150" s="168">
        <v>383</v>
      </c>
      <c r="E150" s="168" t="s">
        <v>1083</v>
      </c>
    </row>
    <row r="151" spans="1:5" ht="12.75">
      <c r="A151" s="167" t="s">
        <v>1723</v>
      </c>
      <c r="B151" s="168">
        <v>302</v>
      </c>
      <c r="C151" s="167" t="s">
        <v>1676</v>
      </c>
      <c r="D151" s="168">
        <v>372</v>
      </c>
      <c r="E151" s="168" t="s">
        <v>1083</v>
      </c>
    </row>
    <row r="152" spans="1:5" ht="12.75">
      <c r="A152" s="167" t="s">
        <v>1724</v>
      </c>
      <c r="B152" s="168">
        <v>302</v>
      </c>
      <c r="C152" s="167" t="s">
        <v>1676</v>
      </c>
      <c r="D152" s="168">
        <v>411</v>
      </c>
      <c r="E152" s="168">
        <v>16</v>
      </c>
    </row>
    <row r="153" spans="1:5" ht="12.75">
      <c r="A153" s="167" t="s">
        <v>1725</v>
      </c>
      <c r="B153" s="168">
        <v>336</v>
      </c>
      <c r="C153" s="167" t="s">
        <v>1726</v>
      </c>
      <c r="D153" s="168">
        <v>175</v>
      </c>
      <c r="E153" s="168">
        <v>37</v>
      </c>
    </row>
    <row r="154" spans="1:5" ht="12.75">
      <c r="A154" s="167" t="s">
        <v>1727</v>
      </c>
      <c r="B154" s="168">
        <v>336</v>
      </c>
      <c r="C154" s="167" t="s">
        <v>1726</v>
      </c>
      <c r="D154" s="168">
        <v>118</v>
      </c>
      <c r="E154" s="168">
        <v>34</v>
      </c>
    </row>
    <row r="155" spans="1:5" ht="12.75">
      <c r="A155" s="167" t="s">
        <v>1728</v>
      </c>
      <c r="B155" s="168">
        <v>336</v>
      </c>
      <c r="C155" s="167" t="s">
        <v>1726</v>
      </c>
      <c r="D155" s="168">
        <v>184</v>
      </c>
      <c r="E155" s="168">
        <v>4</v>
      </c>
    </row>
    <row r="156" spans="1:5" ht="12.75">
      <c r="A156" s="167" t="s">
        <v>1729</v>
      </c>
      <c r="B156" s="168">
        <v>336</v>
      </c>
      <c r="C156" s="167" t="s">
        <v>1726</v>
      </c>
      <c r="D156" s="168">
        <v>119</v>
      </c>
      <c r="E156" s="168" t="s">
        <v>1083</v>
      </c>
    </row>
    <row r="157" spans="1:5" ht="12.75">
      <c r="A157" s="167" t="s">
        <v>1730</v>
      </c>
      <c r="B157" s="168">
        <v>336</v>
      </c>
      <c r="C157" s="167" t="s">
        <v>1726</v>
      </c>
      <c r="D157" s="168">
        <v>3</v>
      </c>
      <c r="E157" s="168">
        <v>2</v>
      </c>
    </row>
    <row r="158" spans="1:5" ht="12.75">
      <c r="A158" s="167" t="s">
        <v>1731</v>
      </c>
      <c r="B158" s="168">
        <v>336</v>
      </c>
      <c r="C158" s="167" t="s">
        <v>1726</v>
      </c>
      <c r="D158" s="168">
        <v>144</v>
      </c>
      <c r="E158" s="168">
        <v>10</v>
      </c>
    </row>
    <row r="159" spans="1:5" ht="12.75">
      <c r="A159" s="167" t="s">
        <v>1732</v>
      </c>
      <c r="B159" s="168">
        <v>336</v>
      </c>
      <c r="C159" s="167" t="s">
        <v>1726</v>
      </c>
      <c r="D159" s="168">
        <v>164</v>
      </c>
      <c r="E159" s="168">
        <v>39</v>
      </c>
    </row>
    <row r="160" spans="1:5" ht="12.75">
      <c r="A160" s="167" t="s">
        <v>1733</v>
      </c>
      <c r="B160" s="168">
        <v>336</v>
      </c>
      <c r="C160" s="167" t="s">
        <v>1726</v>
      </c>
      <c r="D160" s="168">
        <v>6</v>
      </c>
      <c r="E160" s="168">
        <v>25</v>
      </c>
    </row>
    <row r="161" spans="1:5" ht="12.75">
      <c r="A161" s="167" t="s">
        <v>1734</v>
      </c>
      <c r="B161" s="168">
        <v>336</v>
      </c>
      <c r="C161" s="167" t="s">
        <v>1726</v>
      </c>
      <c r="D161" s="168">
        <v>129</v>
      </c>
      <c r="E161" s="168">
        <v>5</v>
      </c>
    </row>
    <row r="162" spans="1:5" ht="12.75">
      <c r="A162" s="167" t="s">
        <v>1735</v>
      </c>
      <c r="B162" s="168">
        <v>336</v>
      </c>
      <c r="C162" s="167" t="s">
        <v>1726</v>
      </c>
      <c r="D162" s="168">
        <v>172</v>
      </c>
      <c r="E162" s="168">
        <v>42</v>
      </c>
    </row>
    <row r="163" spans="1:5" ht="12.75">
      <c r="A163" s="167" t="s">
        <v>1736</v>
      </c>
      <c r="B163" s="168">
        <v>336</v>
      </c>
      <c r="C163" s="167" t="s">
        <v>1726</v>
      </c>
      <c r="D163" s="168">
        <v>31</v>
      </c>
      <c r="E163" s="168">
        <v>26</v>
      </c>
    </row>
    <row r="164" spans="1:5" ht="12.75">
      <c r="A164" s="167" t="s">
        <v>1737</v>
      </c>
      <c r="B164" s="168">
        <v>336</v>
      </c>
      <c r="C164" s="167" t="s">
        <v>1726</v>
      </c>
      <c r="D164" s="168">
        <v>1</v>
      </c>
      <c r="E164" s="168">
        <v>1</v>
      </c>
    </row>
    <row r="165" spans="1:5" ht="12.75">
      <c r="A165" s="167" t="s">
        <v>1738</v>
      </c>
      <c r="B165" s="168">
        <v>336</v>
      </c>
      <c r="C165" s="167" t="s">
        <v>1726</v>
      </c>
      <c r="D165" s="168">
        <v>7</v>
      </c>
      <c r="E165" s="168">
        <v>23</v>
      </c>
    </row>
    <row r="166" spans="1:5" ht="12.75">
      <c r="A166" s="167" t="s">
        <v>1739</v>
      </c>
      <c r="B166" s="168">
        <v>336</v>
      </c>
      <c r="C166" s="167" t="s">
        <v>1726</v>
      </c>
      <c r="D166" s="168">
        <v>167</v>
      </c>
      <c r="E166" s="168">
        <v>40</v>
      </c>
    </row>
    <row r="167" spans="1:5" ht="12.75">
      <c r="A167" s="167" t="s">
        <v>1740</v>
      </c>
      <c r="B167" s="168">
        <v>336</v>
      </c>
      <c r="C167" s="167" t="s">
        <v>1726</v>
      </c>
      <c r="D167" s="168">
        <v>39</v>
      </c>
      <c r="E167" s="168">
        <v>21</v>
      </c>
    </row>
    <row r="168" spans="1:5" ht="12.75">
      <c r="A168" s="167" t="s">
        <v>1741</v>
      </c>
      <c r="B168" s="168">
        <v>336</v>
      </c>
      <c r="C168" s="167" t="s">
        <v>1726</v>
      </c>
      <c r="D168" s="168">
        <v>109</v>
      </c>
      <c r="E168" s="168">
        <v>33</v>
      </c>
    </row>
    <row r="169" spans="1:5" ht="12.75">
      <c r="A169" s="167" t="s">
        <v>1742</v>
      </c>
      <c r="B169" s="168">
        <v>336</v>
      </c>
      <c r="C169" s="167" t="s">
        <v>1726</v>
      </c>
      <c r="D169" s="168">
        <v>77</v>
      </c>
      <c r="E169" s="168">
        <v>7</v>
      </c>
    </row>
    <row r="170" spans="1:5" ht="12.75">
      <c r="A170" s="167" t="s">
        <v>1743</v>
      </c>
      <c r="B170" s="168">
        <v>336</v>
      </c>
      <c r="C170" s="167" t="s">
        <v>1726</v>
      </c>
      <c r="D170" s="168">
        <v>153</v>
      </c>
      <c r="E170" s="168">
        <v>47</v>
      </c>
    </row>
    <row r="171" spans="1:5" ht="12.75">
      <c r="A171" s="167" t="s">
        <v>1744</v>
      </c>
      <c r="B171" s="168">
        <v>336</v>
      </c>
      <c r="C171" s="167" t="s">
        <v>1726</v>
      </c>
      <c r="D171" s="168">
        <v>177</v>
      </c>
      <c r="E171" s="168">
        <v>17</v>
      </c>
    </row>
    <row r="172" spans="1:5" ht="12.75">
      <c r="A172" s="167" t="s">
        <v>1745</v>
      </c>
      <c r="B172" s="168">
        <v>336</v>
      </c>
      <c r="C172" s="167" t="s">
        <v>1726</v>
      </c>
      <c r="D172" s="168">
        <v>178</v>
      </c>
      <c r="E172" s="168">
        <v>27</v>
      </c>
    </row>
    <row r="173" spans="1:5" ht="12.75">
      <c r="A173" s="167" t="s">
        <v>1746</v>
      </c>
      <c r="B173" s="168">
        <v>336</v>
      </c>
      <c r="C173" s="167" t="s">
        <v>1726</v>
      </c>
      <c r="D173" s="168">
        <v>8</v>
      </c>
      <c r="E173" s="168">
        <v>16</v>
      </c>
    </row>
    <row r="174" spans="1:5" ht="12.75">
      <c r="A174" s="167" t="s">
        <v>1747</v>
      </c>
      <c r="B174" s="168">
        <v>336</v>
      </c>
      <c r="C174" s="167" t="s">
        <v>1726</v>
      </c>
      <c r="D174" s="168">
        <v>65</v>
      </c>
      <c r="E174" s="168">
        <v>30</v>
      </c>
    </row>
    <row r="175" spans="1:5" ht="12.75">
      <c r="A175" s="167" t="s">
        <v>1748</v>
      </c>
      <c r="B175" s="168">
        <v>336</v>
      </c>
      <c r="C175" s="167" t="s">
        <v>1726</v>
      </c>
      <c r="D175" s="168">
        <v>183</v>
      </c>
      <c r="E175" s="168">
        <v>44</v>
      </c>
    </row>
    <row r="176" spans="1:5" ht="12.75">
      <c r="A176" s="167" t="s">
        <v>1749</v>
      </c>
      <c r="B176" s="168">
        <v>336</v>
      </c>
      <c r="C176" s="167" t="s">
        <v>1726</v>
      </c>
      <c r="D176" s="168">
        <v>160</v>
      </c>
      <c r="E176" s="168">
        <v>9</v>
      </c>
    </row>
    <row r="177" spans="1:5" ht="12.75">
      <c r="A177" s="167" t="s">
        <v>1750</v>
      </c>
      <c r="B177" s="168">
        <v>336</v>
      </c>
      <c r="C177" s="167" t="s">
        <v>1726</v>
      </c>
      <c r="D177" s="168">
        <v>86</v>
      </c>
      <c r="E177" s="168" t="s">
        <v>1083</v>
      </c>
    </row>
    <row r="178" spans="1:5" ht="12.75">
      <c r="A178" s="167" t="s">
        <v>1751</v>
      </c>
      <c r="B178" s="168">
        <v>336</v>
      </c>
      <c r="C178" s="167" t="s">
        <v>1726</v>
      </c>
      <c r="D178" s="168">
        <v>135</v>
      </c>
      <c r="E178" s="168">
        <v>49</v>
      </c>
    </row>
    <row r="179" spans="1:5" ht="12.75">
      <c r="A179" s="167" t="s">
        <v>1752</v>
      </c>
      <c r="B179" s="168">
        <v>336</v>
      </c>
      <c r="C179" s="167" t="s">
        <v>1726</v>
      </c>
      <c r="D179" s="168">
        <v>142</v>
      </c>
      <c r="E179" s="168">
        <v>36</v>
      </c>
    </row>
    <row r="180" spans="1:5" ht="12.75">
      <c r="A180" s="167" t="s">
        <v>1753</v>
      </c>
      <c r="B180" s="168">
        <v>336</v>
      </c>
      <c r="C180" s="167" t="s">
        <v>1726</v>
      </c>
      <c r="D180" s="168">
        <v>50</v>
      </c>
      <c r="E180" s="168">
        <v>15</v>
      </c>
    </row>
    <row r="181" spans="1:5" ht="12.75">
      <c r="A181" s="167" t="s">
        <v>1754</v>
      </c>
      <c r="B181" s="168">
        <v>336</v>
      </c>
      <c r="C181" s="167" t="s">
        <v>1726</v>
      </c>
      <c r="D181" s="168">
        <v>176</v>
      </c>
      <c r="E181" s="168">
        <v>43</v>
      </c>
    </row>
    <row r="182" spans="1:5" ht="12.75">
      <c r="A182" s="167" t="s">
        <v>1755</v>
      </c>
      <c r="B182" s="168">
        <v>336</v>
      </c>
      <c r="C182" s="167" t="s">
        <v>1726</v>
      </c>
      <c r="D182" s="168">
        <v>99</v>
      </c>
      <c r="E182" s="168">
        <v>6</v>
      </c>
    </row>
    <row r="183" spans="1:5" ht="12.75">
      <c r="A183" s="167" t="s">
        <v>1756</v>
      </c>
      <c r="B183" s="168">
        <v>336</v>
      </c>
      <c r="C183" s="167" t="s">
        <v>1726</v>
      </c>
      <c r="D183" s="168">
        <v>64</v>
      </c>
      <c r="E183" s="168">
        <v>29</v>
      </c>
    </row>
    <row r="184" spans="1:5" ht="12.75">
      <c r="A184" s="167" t="s">
        <v>1757</v>
      </c>
      <c r="B184" s="168">
        <v>336</v>
      </c>
      <c r="C184" s="167" t="s">
        <v>1726</v>
      </c>
      <c r="D184" s="168">
        <v>180</v>
      </c>
      <c r="E184" s="168">
        <v>19</v>
      </c>
    </row>
    <row r="185" spans="1:5" ht="12.75">
      <c r="A185" s="167" t="s">
        <v>1758</v>
      </c>
      <c r="B185" s="168">
        <v>336</v>
      </c>
      <c r="C185" s="167" t="s">
        <v>1726</v>
      </c>
      <c r="D185" s="168">
        <v>16</v>
      </c>
      <c r="E185" s="168">
        <v>22</v>
      </c>
    </row>
    <row r="186" spans="1:5" ht="12.75">
      <c r="A186" s="167" t="s">
        <v>1761</v>
      </c>
      <c r="B186" s="168">
        <v>336</v>
      </c>
      <c r="C186" s="167" t="s">
        <v>1726</v>
      </c>
      <c r="D186" s="168">
        <v>61</v>
      </c>
      <c r="E186" s="168">
        <v>28</v>
      </c>
    </row>
    <row r="187" spans="1:5" ht="12.75">
      <c r="A187" s="167" t="s">
        <v>1762</v>
      </c>
      <c r="B187" s="168">
        <v>336</v>
      </c>
      <c r="C187" s="167" t="s">
        <v>1726</v>
      </c>
      <c r="D187" s="168">
        <v>185</v>
      </c>
      <c r="E187" s="168">
        <v>45</v>
      </c>
    </row>
    <row r="188" spans="1:5" ht="12.75">
      <c r="A188" s="167" t="s">
        <v>1763</v>
      </c>
      <c r="B188" s="168">
        <v>336</v>
      </c>
      <c r="C188" s="167" t="s">
        <v>1726</v>
      </c>
      <c r="D188" s="168">
        <v>2</v>
      </c>
      <c r="E188" s="168">
        <v>24</v>
      </c>
    </row>
    <row r="189" spans="1:5" ht="12.75">
      <c r="A189" s="167" t="s">
        <v>1764</v>
      </c>
      <c r="B189" s="168">
        <v>336</v>
      </c>
      <c r="C189" s="167" t="s">
        <v>1726</v>
      </c>
      <c r="D189" s="168">
        <v>4</v>
      </c>
      <c r="E189" s="168">
        <v>3</v>
      </c>
    </row>
    <row r="190" spans="1:5" ht="12.75">
      <c r="A190" s="167" t="s">
        <v>1765</v>
      </c>
      <c r="B190" s="168">
        <v>336</v>
      </c>
      <c r="C190" s="167" t="s">
        <v>1726</v>
      </c>
      <c r="D190" s="168">
        <v>29</v>
      </c>
      <c r="E190" s="168">
        <v>20</v>
      </c>
    </row>
    <row r="191" spans="1:5" ht="12.75">
      <c r="A191" s="167" t="s">
        <v>1766</v>
      </c>
      <c r="B191" s="168">
        <v>336</v>
      </c>
      <c r="C191" s="167" t="s">
        <v>1726</v>
      </c>
      <c r="D191" s="168">
        <v>127</v>
      </c>
      <c r="E191" s="168">
        <v>35</v>
      </c>
    </row>
    <row r="192" spans="1:5" ht="12.75">
      <c r="A192" s="167" t="s">
        <v>1767</v>
      </c>
      <c r="B192" s="168">
        <v>336</v>
      </c>
      <c r="C192" s="167" t="s">
        <v>1726</v>
      </c>
      <c r="D192" s="168">
        <v>26</v>
      </c>
      <c r="E192" s="168">
        <v>50</v>
      </c>
    </row>
    <row r="193" spans="1:5" ht="12.75">
      <c r="A193" s="167" t="s">
        <v>1768</v>
      </c>
      <c r="B193" s="168">
        <v>336</v>
      </c>
      <c r="C193" s="167" t="s">
        <v>1726</v>
      </c>
      <c r="D193" s="168">
        <v>149</v>
      </c>
      <c r="E193" s="168">
        <v>48</v>
      </c>
    </row>
    <row r="194" spans="1:5" ht="12.75">
      <c r="A194" s="167" t="s">
        <v>1769</v>
      </c>
      <c r="B194" s="168">
        <v>336</v>
      </c>
      <c r="C194" s="167" t="s">
        <v>1726</v>
      </c>
      <c r="D194" s="168">
        <v>74</v>
      </c>
      <c r="E194" s="168">
        <v>8</v>
      </c>
    </row>
    <row r="195" spans="1:5" ht="12.75">
      <c r="A195" s="167" t="s">
        <v>1770</v>
      </c>
      <c r="B195" s="168">
        <v>336</v>
      </c>
      <c r="C195" s="167" t="s">
        <v>1726</v>
      </c>
      <c r="D195" s="168">
        <v>73</v>
      </c>
      <c r="E195" s="168">
        <v>13</v>
      </c>
    </row>
    <row r="196" spans="1:5" ht="12.75">
      <c r="A196" s="167" t="s">
        <v>1771</v>
      </c>
      <c r="B196" s="168">
        <v>336</v>
      </c>
      <c r="C196" s="167" t="s">
        <v>1726</v>
      </c>
      <c r="D196" s="168">
        <v>186</v>
      </c>
      <c r="E196" s="168">
        <v>12</v>
      </c>
    </row>
    <row r="197" spans="1:5" ht="12.75">
      <c r="A197" s="167" t="s">
        <v>1772</v>
      </c>
      <c r="B197" s="168">
        <v>336</v>
      </c>
      <c r="C197" s="167" t="s">
        <v>1726</v>
      </c>
      <c r="D197" s="168">
        <v>166</v>
      </c>
      <c r="E197" s="168" t="s">
        <v>1083</v>
      </c>
    </row>
    <row r="198" spans="1:5" ht="12.75">
      <c r="A198" s="167" t="s">
        <v>1773</v>
      </c>
      <c r="B198" s="168">
        <v>336</v>
      </c>
      <c r="C198" s="167" t="s">
        <v>1726</v>
      </c>
      <c r="D198" s="168">
        <v>148</v>
      </c>
      <c r="E198" s="168">
        <v>11</v>
      </c>
    </row>
    <row r="199" spans="1:5" ht="12.75">
      <c r="A199" s="167" t="s">
        <v>1774</v>
      </c>
      <c r="B199" s="168">
        <v>336</v>
      </c>
      <c r="C199" s="167" t="s">
        <v>1726</v>
      </c>
      <c r="D199" s="168">
        <v>154</v>
      </c>
      <c r="E199" s="168">
        <v>46</v>
      </c>
    </row>
    <row r="200" spans="1:5" ht="12.75">
      <c r="A200" s="167" t="s">
        <v>1775</v>
      </c>
      <c r="B200" s="168">
        <v>336</v>
      </c>
      <c r="C200" s="167" t="s">
        <v>1726</v>
      </c>
      <c r="D200" s="168">
        <v>72</v>
      </c>
      <c r="E200" s="168">
        <v>31</v>
      </c>
    </row>
    <row r="201" spans="1:5" ht="12.75">
      <c r="A201" s="167" t="s">
        <v>1776</v>
      </c>
      <c r="B201" s="168">
        <v>336</v>
      </c>
      <c r="C201" s="167" t="s">
        <v>1726</v>
      </c>
      <c r="D201" s="168">
        <v>85</v>
      </c>
      <c r="E201" s="168" t="s">
        <v>1083</v>
      </c>
    </row>
    <row r="202" spans="1:5" ht="12.75">
      <c r="A202" s="167" t="s">
        <v>1777</v>
      </c>
      <c r="B202" s="168">
        <v>336</v>
      </c>
      <c r="C202" s="167" t="s">
        <v>1726</v>
      </c>
      <c r="D202" s="168">
        <v>101</v>
      </c>
      <c r="E202" s="168">
        <v>32</v>
      </c>
    </row>
    <row r="203" spans="1:5" ht="12.75">
      <c r="A203" s="167" t="s">
        <v>1778</v>
      </c>
      <c r="B203" s="168">
        <v>336</v>
      </c>
      <c r="C203" s="167" t="s">
        <v>1726</v>
      </c>
      <c r="D203" s="168">
        <v>62</v>
      </c>
      <c r="E203" s="168">
        <v>14</v>
      </c>
    </row>
    <row r="204" spans="1:5" ht="12.75">
      <c r="A204" s="167" t="s">
        <v>1779</v>
      </c>
      <c r="B204" s="168">
        <v>336</v>
      </c>
      <c r="C204" s="167" t="s">
        <v>1726</v>
      </c>
      <c r="D204" s="168">
        <v>96</v>
      </c>
      <c r="E204" s="168">
        <v>18</v>
      </c>
    </row>
    <row r="205" spans="1:5" ht="12.75">
      <c r="A205" s="167" t="s">
        <v>1780</v>
      </c>
      <c r="B205" s="168">
        <v>336</v>
      </c>
      <c r="C205" s="167" t="s">
        <v>1726</v>
      </c>
      <c r="D205" s="168">
        <v>182</v>
      </c>
      <c r="E205" s="168">
        <v>41</v>
      </c>
    </row>
    <row r="206" spans="1:5" ht="12.75">
      <c r="A206" s="167" t="s">
        <v>1781</v>
      </c>
      <c r="B206" s="168">
        <v>336</v>
      </c>
      <c r="C206" s="167" t="s">
        <v>1726</v>
      </c>
      <c r="D206" s="168">
        <v>157</v>
      </c>
      <c r="E206" s="168">
        <v>38</v>
      </c>
    </row>
    <row r="207" spans="1:5" ht="12.75">
      <c r="A207" s="167" t="s">
        <v>1782</v>
      </c>
      <c r="B207" s="168">
        <v>360</v>
      </c>
      <c r="C207" s="167" t="s">
        <v>1783</v>
      </c>
      <c r="D207" s="168">
        <v>72</v>
      </c>
      <c r="E207" s="168" t="s">
        <v>1083</v>
      </c>
    </row>
    <row r="208" spans="1:5" ht="12.75">
      <c r="A208" s="167" t="s">
        <v>1784</v>
      </c>
      <c r="B208" s="168">
        <v>360</v>
      </c>
      <c r="C208" s="167" t="s">
        <v>1783</v>
      </c>
      <c r="D208" s="168">
        <v>91</v>
      </c>
      <c r="E208" s="168">
        <v>1</v>
      </c>
    </row>
    <row r="209" spans="1:5" ht="12.75">
      <c r="A209" s="167" t="s">
        <v>1785</v>
      </c>
      <c r="B209" s="168">
        <v>360</v>
      </c>
      <c r="C209" s="167" t="s">
        <v>1783</v>
      </c>
      <c r="D209" s="168">
        <v>82</v>
      </c>
      <c r="E209" s="168" t="s">
        <v>1083</v>
      </c>
    </row>
    <row r="210" spans="1:5" ht="12.75">
      <c r="A210" s="167" t="s">
        <v>1786</v>
      </c>
      <c r="B210" s="168">
        <v>360</v>
      </c>
      <c r="C210" s="167" t="s">
        <v>1783</v>
      </c>
      <c r="D210" s="168">
        <v>83</v>
      </c>
      <c r="E210" s="168" t="s">
        <v>1083</v>
      </c>
    </row>
    <row r="211" spans="1:5" ht="12.75">
      <c r="A211" s="167" t="s">
        <v>1787</v>
      </c>
      <c r="B211" s="168">
        <v>360</v>
      </c>
      <c r="C211" s="167" t="s">
        <v>1783</v>
      </c>
      <c r="D211" s="168">
        <v>61</v>
      </c>
      <c r="E211" s="168">
        <v>32</v>
      </c>
    </row>
    <row r="212" spans="1:5" ht="12.75">
      <c r="A212" s="167" t="s">
        <v>1788</v>
      </c>
      <c r="B212" s="168">
        <v>360</v>
      </c>
      <c r="C212" s="167" t="s">
        <v>1783</v>
      </c>
      <c r="D212" s="168">
        <v>106</v>
      </c>
      <c r="E212" s="168">
        <v>13</v>
      </c>
    </row>
    <row r="213" spans="1:5" ht="12.75">
      <c r="A213" s="167" t="s">
        <v>1789</v>
      </c>
      <c r="B213" s="168">
        <v>360</v>
      </c>
      <c r="C213" s="167" t="s">
        <v>1783</v>
      </c>
      <c r="D213" s="168">
        <v>97</v>
      </c>
      <c r="E213" s="168" t="s">
        <v>1083</v>
      </c>
    </row>
    <row r="214" spans="1:5" ht="12.75">
      <c r="A214" s="167" t="s">
        <v>1790</v>
      </c>
      <c r="B214" s="168">
        <v>360</v>
      </c>
      <c r="C214" s="167" t="s">
        <v>1783</v>
      </c>
      <c r="D214" s="168">
        <v>63</v>
      </c>
      <c r="E214" s="168">
        <v>5</v>
      </c>
    </row>
    <row r="215" spans="1:5" ht="12.75">
      <c r="A215" s="167" t="s">
        <v>1791</v>
      </c>
      <c r="B215" s="168">
        <v>360</v>
      </c>
      <c r="C215" s="167" t="s">
        <v>1783</v>
      </c>
      <c r="D215" s="168">
        <v>85</v>
      </c>
      <c r="E215" s="168">
        <v>26</v>
      </c>
    </row>
    <row r="216" spans="1:5" ht="12.75">
      <c r="A216" s="167" t="s">
        <v>1792</v>
      </c>
      <c r="B216" s="168">
        <v>360</v>
      </c>
      <c r="C216" s="167" t="s">
        <v>1783</v>
      </c>
      <c r="D216" s="168">
        <v>86</v>
      </c>
      <c r="E216" s="168">
        <v>30</v>
      </c>
    </row>
    <row r="217" spans="1:5" ht="12.75">
      <c r="A217" s="167" t="s">
        <v>1793</v>
      </c>
      <c r="B217" s="168">
        <v>360</v>
      </c>
      <c r="C217" s="167" t="s">
        <v>1783</v>
      </c>
      <c r="D217" s="168">
        <v>92</v>
      </c>
      <c r="E217" s="168">
        <v>27</v>
      </c>
    </row>
    <row r="218" spans="1:5" ht="12.75">
      <c r="A218" s="167" t="s">
        <v>1794</v>
      </c>
      <c r="B218" s="168">
        <v>360</v>
      </c>
      <c r="C218" s="167" t="s">
        <v>1783</v>
      </c>
      <c r="D218" s="168">
        <v>98</v>
      </c>
      <c r="E218" s="168">
        <v>4</v>
      </c>
    </row>
    <row r="219" spans="1:5" ht="12.75">
      <c r="A219" s="167" t="s">
        <v>1795</v>
      </c>
      <c r="B219" s="168">
        <v>360</v>
      </c>
      <c r="C219" s="167" t="s">
        <v>1783</v>
      </c>
      <c r="D219" s="168">
        <v>9</v>
      </c>
      <c r="E219" s="168">
        <v>8</v>
      </c>
    </row>
    <row r="220" spans="1:5" ht="12.75">
      <c r="A220" s="167" t="s">
        <v>1796</v>
      </c>
      <c r="B220" s="168">
        <v>360</v>
      </c>
      <c r="C220" s="167" t="s">
        <v>1783</v>
      </c>
      <c r="D220" s="168">
        <v>95</v>
      </c>
      <c r="E220" s="168" t="s">
        <v>1083</v>
      </c>
    </row>
    <row r="221" spans="1:5" ht="12.75">
      <c r="A221" s="167" t="s">
        <v>1797</v>
      </c>
      <c r="B221" s="168">
        <v>360</v>
      </c>
      <c r="C221" s="167" t="s">
        <v>1783</v>
      </c>
      <c r="D221" s="168">
        <v>94</v>
      </c>
      <c r="E221" s="168" t="s">
        <v>1083</v>
      </c>
    </row>
    <row r="222" spans="1:5" ht="12.75">
      <c r="A222" s="167" t="s">
        <v>1798</v>
      </c>
      <c r="B222" s="168">
        <v>360</v>
      </c>
      <c r="C222" s="167" t="s">
        <v>1783</v>
      </c>
      <c r="D222" s="168">
        <v>96</v>
      </c>
      <c r="E222" s="168" t="s">
        <v>1083</v>
      </c>
    </row>
    <row r="223" spans="1:5" ht="12.75">
      <c r="A223" s="167" t="s">
        <v>1799</v>
      </c>
      <c r="B223" s="168">
        <v>360</v>
      </c>
      <c r="C223" s="167" t="s">
        <v>1783</v>
      </c>
      <c r="D223" s="168">
        <v>99</v>
      </c>
      <c r="E223" s="168">
        <v>15</v>
      </c>
    </row>
    <row r="224" spans="1:5" ht="12.75">
      <c r="A224" s="167" t="s">
        <v>1800</v>
      </c>
      <c r="B224" s="168">
        <v>360</v>
      </c>
      <c r="C224" s="167" t="s">
        <v>1783</v>
      </c>
      <c r="D224" s="168">
        <v>100</v>
      </c>
      <c r="E224" s="168">
        <v>12</v>
      </c>
    </row>
    <row r="225" spans="1:5" ht="12.75">
      <c r="A225" s="167" t="s">
        <v>1801</v>
      </c>
      <c r="B225" s="168">
        <v>360</v>
      </c>
      <c r="C225" s="167" t="s">
        <v>1783</v>
      </c>
      <c r="D225" s="168">
        <v>93</v>
      </c>
      <c r="E225" s="168">
        <v>21</v>
      </c>
    </row>
    <row r="226" spans="1:5" ht="12.75">
      <c r="A226" s="167" t="s">
        <v>1802</v>
      </c>
      <c r="B226" s="168">
        <v>360</v>
      </c>
      <c r="C226" s="167" t="s">
        <v>1783</v>
      </c>
      <c r="D226" s="168">
        <v>87</v>
      </c>
      <c r="E226" s="168">
        <v>6</v>
      </c>
    </row>
    <row r="227" spans="1:5" ht="12.75">
      <c r="A227" s="167" t="s">
        <v>1803</v>
      </c>
      <c r="B227" s="168">
        <v>360</v>
      </c>
      <c r="C227" s="167" t="s">
        <v>1783</v>
      </c>
      <c r="D227" s="168">
        <v>107</v>
      </c>
      <c r="E227" s="168">
        <v>25</v>
      </c>
    </row>
    <row r="228" spans="1:5" ht="12.75">
      <c r="A228" s="167" t="s">
        <v>1804</v>
      </c>
      <c r="B228" s="168">
        <v>360</v>
      </c>
      <c r="C228" s="167" t="s">
        <v>1783</v>
      </c>
      <c r="D228" s="168">
        <v>108</v>
      </c>
      <c r="E228" s="168">
        <v>2</v>
      </c>
    </row>
    <row r="229" spans="1:5" ht="12.75">
      <c r="A229" s="167" t="s">
        <v>1805</v>
      </c>
      <c r="B229" s="168">
        <v>360</v>
      </c>
      <c r="C229" s="167" t="s">
        <v>1783</v>
      </c>
      <c r="D229" s="168">
        <v>4</v>
      </c>
      <c r="E229" s="168">
        <v>7</v>
      </c>
    </row>
    <row r="230" spans="1:5" ht="12.75">
      <c r="A230" s="167" t="s">
        <v>1806</v>
      </c>
      <c r="B230" s="168">
        <v>360</v>
      </c>
      <c r="C230" s="167" t="s">
        <v>1783</v>
      </c>
      <c r="D230" s="168">
        <v>13</v>
      </c>
      <c r="E230" s="168" t="s">
        <v>1083</v>
      </c>
    </row>
    <row r="231" spans="1:5" ht="12.75">
      <c r="A231" s="167" t="s">
        <v>1807</v>
      </c>
      <c r="B231" s="168">
        <v>360</v>
      </c>
      <c r="C231" s="167" t="s">
        <v>1783</v>
      </c>
      <c r="D231" s="168">
        <v>105</v>
      </c>
      <c r="E231" s="168">
        <v>14</v>
      </c>
    </row>
    <row r="232" spans="1:5" ht="12.75">
      <c r="A232" s="167" t="s">
        <v>1808</v>
      </c>
      <c r="B232" s="168">
        <v>360</v>
      </c>
      <c r="C232" s="167" t="s">
        <v>1783</v>
      </c>
      <c r="D232" s="168">
        <v>104</v>
      </c>
      <c r="E232" s="168" t="s">
        <v>1083</v>
      </c>
    </row>
    <row r="233" spans="1:5" ht="12.75">
      <c r="A233" s="167" t="s">
        <v>1809</v>
      </c>
      <c r="B233" s="168">
        <v>360</v>
      </c>
      <c r="C233" s="167" t="s">
        <v>1783</v>
      </c>
      <c r="D233" s="168">
        <v>109</v>
      </c>
      <c r="E233" s="168">
        <v>23</v>
      </c>
    </row>
    <row r="234" spans="1:5" ht="12.75">
      <c r="A234" s="167" t="s">
        <v>1810</v>
      </c>
      <c r="B234" s="168">
        <v>360</v>
      </c>
      <c r="C234" s="167" t="s">
        <v>1783</v>
      </c>
      <c r="D234" s="168">
        <v>80</v>
      </c>
      <c r="E234" s="168">
        <v>3</v>
      </c>
    </row>
    <row r="235" spans="1:5" ht="12.75">
      <c r="A235" s="167" t="s">
        <v>1811</v>
      </c>
      <c r="B235" s="168">
        <v>360</v>
      </c>
      <c r="C235" s="167" t="s">
        <v>1783</v>
      </c>
      <c r="D235" s="168">
        <v>74</v>
      </c>
      <c r="E235" s="168">
        <v>19</v>
      </c>
    </row>
    <row r="236" spans="1:5" ht="12.75">
      <c r="A236" s="167" t="s">
        <v>1812</v>
      </c>
      <c r="B236" s="168">
        <v>360</v>
      </c>
      <c r="C236" s="167" t="s">
        <v>1783</v>
      </c>
      <c r="D236" s="168">
        <v>25</v>
      </c>
      <c r="E236" s="168" t="s">
        <v>1083</v>
      </c>
    </row>
    <row r="237" spans="1:5" ht="12.75">
      <c r="A237" s="167" t="s">
        <v>1813</v>
      </c>
      <c r="B237" s="168">
        <v>360</v>
      </c>
      <c r="C237" s="167" t="s">
        <v>1783</v>
      </c>
      <c r="D237" s="168">
        <v>1</v>
      </c>
      <c r="E237" s="168">
        <v>22</v>
      </c>
    </row>
    <row r="238" spans="1:5" ht="12.75">
      <c r="A238" s="167" t="s">
        <v>1814</v>
      </c>
      <c r="B238" s="168">
        <v>360</v>
      </c>
      <c r="C238" s="167" t="s">
        <v>1783</v>
      </c>
      <c r="D238" s="168">
        <v>58</v>
      </c>
      <c r="E238" s="168">
        <v>10</v>
      </c>
    </row>
    <row r="239" spans="1:5" ht="12.75">
      <c r="A239" s="167" t="s">
        <v>1815</v>
      </c>
      <c r="B239" s="168">
        <v>360</v>
      </c>
      <c r="C239" s="167" t="s">
        <v>1783</v>
      </c>
      <c r="D239" s="168">
        <v>110</v>
      </c>
      <c r="E239" s="168">
        <v>24</v>
      </c>
    </row>
    <row r="240" spans="1:5" ht="12.75">
      <c r="A240" s="167" t="s">
        <v>1816</v>
      </c>
      <c r="B240" s="168">
        <v>360</v>
      </c>
      <c r="C240" s="167" t="s">
        <v>1783</v>
      </c>
      <c r="D240" s="168">
        <v>40</v>
      </c>
      <c r="E240" s="168">
        <v>17</v>
      </c>
    </row>
    <row r="241" spans="1:5" ht="12.75">
      <c r="A241" s="167" t="s">
        <v>1817</v>
      </c>
      <c r="B241" s="168">
        <v>360</v>
      </c>
      <c r="C241" s="167" t="s">
        <v>1783</v>
      </c>
      <c r="D241" s="168">
        <v>28</v>
      </c>
      <c r="E241" s="168">
        <v>16</v>
      </c>
    </row>
    <row r="242" spans="1:5" ht="12.75">
      <c r="A242" s="167" t="s">
        <v>1818</v>
      </c>
      <c r="B242" s="168">
        <v>360</v>
      </c>
      <c r="C242" s="167" t="s">
        <v>1783</v>
      </c>
      <c r="D242" s="168">
        <v>81</v>
      </c>
      <c r="E242" s="168">
        <v>31</v>
      </c>
    </row>
    <row r="243" spans="1:5" ht="12.75">
      <c r="A243" s="167" t="s">
        <v>1819</v>
      </c>
      <c r="B243" s="168">
        <v>360</v>
      </c>
      <c r="C243" s="167" t="s">
        <v>1783</v>
      </c>
      <c r="D243" s="168">
        <v>77</v>
      </c>
      <c r="E243" s="168">
        <v>18</v>
      </c>
    </row>
    <row r="244" spans="1:5" ht="12.75">
      <c r="A244" s="167" t="s">
        <v>1820</v>
      </c>
      <c r="B244" s="168">
        <v>360</v>
      </c>
      <c r="C244" s="167" t="s">
        <v>1783</v>
      </c>
      <c r="D244" s="168">
        <v>103</v>
      </c>
      <c r="E244" s="168">
        <v>11</v>
      </c>
    </row>
    <row r="245" spans="1:5" ht="12.75">
      <c r="A245" s="167" t="s">
        <v>1821</v>
      </c>
      <c r="B245" s="168">
        <v>360</v>
      </c>
      <c r="C245" s="167" t="s">
        <v>1783</v>
      </c>
      <c r="D245" s="168">
        <v>89</v>
      </c>
      <c r="E245" s="168">
        <v>20</v>
      </c>
    </row>
    <row r="246" spans="1:5" ht="12.75">
      <c r="A246" s="167" t="s">
        <v>1822</v>
      </c>
      <c r="B246" s="168">
        <v>360</v>
      </c>
      <c r="C246" s="167" t="s">
        <v>1783</v>
      </c>
      <c r="D246" s="168">
        <v>45</v>
      </c>
      <c r="E246" s="168" t="s">
        <v>1083</v>
      </c>
    </row>
    <row r="247" spans="1:5" ht="12.75">
      <c r="A247" s="167" t="s">
        <v>1823</v>
      </c>
      <c r="B247" s="168">
        <v>360</v>
      </c>
      <c r="C247" s="167" t="s">
        <v>1783</v>
      </c>
      <c r="D247" s="168">
        <v>78</v>
      </c>
      <c r="E247" s="168">
        <v>28</v>
      </c>
    </row>
    <row r="248" spans="1:5" ht="12.75">
      <c r="A248" s="167" t="s">
        <v>1824</v>
      </c>
      <c r="B248" s="168">
        <v>360</v>
      </c>
      <c r="C248" s="167" t="s">
        <v>1783</v>
      </c>
      <c r="D248" s="168">
        <v>111</v>
      </c>
      <c r="E248" s="168">
        <v>33</v>
      </c>
    </row>
    <row r="249" spans="1:5" ht="12.75">
      <c r="A249" s="167" t="s">
        <v>1825</v>
      </c>
      <c r="B249" s="168">
        <v>360</v>
      </c>
      <c r="C249" s="167" t="s">
        <v>1783</v>
      </c>
      <c r="D249" s="168">
        <v>101</v>
      </c>
      <c r="E249" s="168">
        <v>29</v>
      </c>
    </row>
    <row r="250" spans="1:5" ht="12.75">
      <c r="A250" s="167" t="s">
        <v>1826</v>
      </c>
      <c r="B250" s="168">
        <v>386</v>
      </c>
      <c r="C250" s="167" t="s">
        <v>1827</v>
      </c>
      <c r="D250" s="168">
        <v>117</v>
      </c>
      <c r="E250" s="168" t="s">
        <v>1083</v>
      </c>
    </row>
    <row r="251" spans="1:5" ht="12.75">
      <c r="A251" s="167" t="s">
        <v>1828</v>
      </c>
      <c r="B251" s="168">
        <v>386</v>
      </c>
      <c r="C251" s="167" t="s">
        <v>1827</v>
      </c>
      <c r="D251" s="168">
        <v>27</v>
      </c>
      <c r="E251" s="168" t="s">
        <v>1083</v>
      </c>
    </row>
    <row r="252" spans="1:5" ht="12.75">
      <c r="A252" s="167" t="s">
        <v>1829</v>
      </c>
      <c r="B252" s="168">
        <v>386</v>
      </c>
      <c r="C252" s="167" t="s">
        <v>1827</v>
      </c>
      <c r="D252" s="168">
        <v>61</v>
      </c>
      <c r="E252" s="168" t="s">
        <v>1083</v>
      </c>
    </row>
    <row r="253" spans="1:5" ht="12.75">
      <c r="A253" s="167" t="s">
        <v>1830</v>
      </c>
      <c r="B253" s="168">
        <v>386</v>
      </c>
      <c r="C253" s="167" t="s">
        <v>1827</v>
      </c>
      <c r="D253" s="168">
        <v>23</v>
      </c>
      <c r="E253" s="168">
        <v>4</v>
      </c>
    </row>
    <row r="254" spans="1:5" ht="12.75">
      <c r="A254" s="167" t="s">
        <v>1831</v>
      </c>
      <c r="B254" s="168">
        <v>386</v>
      </c>
      <c r="C254" s="167" t="s">
        <v>1827</v>
      </c>
      <c r="D254" s="168">
        <v>75</v>
      </c>
      <c r="E254" s="168" t="s">
        <v>1083</v>
      </c>
    </row>
    <row r="255" spans="1:5" ht="12.75">
      <c r="A255" s="167" t="s">
        <v>1832</v>
      </c>
      <c r="B255" s="168">
        <v>386</v>
      </c>
      <c r="C255" s="167" t="s">
        <v>1827</v>
      </c>
      <c r="D255" s="168">
        <v>9</v>
      </c>
      <c r="E255" s="168" t="s">
        <v>1083</v>
      </c>
    </row>
    <row r="256" spans="1:5" ht="12.75">
      <c r="A256" s="167" t="s">
        <v>1833</v>
      </c>
      <c r="B256" s="168">
        <v>386</v>
      </c>
      <c r="C256" s="167" t="s">
        <v>1827</v>
      </c>
      <c r="D256" s="168">
        <v>59</v>
      </c>
      <c r="E256" s="168" t="s">
        <v>1083</v>
      </c>
    </row>
    <row r="257" spans="1:5" ht="12.75">
      <c r="A257" s="167" t="s">
        <v>1834</v>
      </c>
      <c r="B257" s="168">
        <v>386</v>
      </c>
      <c r="C257" s="167" t="s">
        <v>1827</v>
      </c>
      <c r="D257" s="168">
        <v>95</v>
      </c>
      <c r="E257" s="168" t="s">
        <v>1083</v>
      </c>
    </row>
    <row r="258" spans="1:5" ht="12.75">
      <c r="A258" s="167" t="s">
        <v>1835</v>
      </c>
      <c r="B258" s="168">
        <v>386</v>
      </c>
      <c r="C258" s="167" t="s">
        <v>1827</v>
      </c>
      <c r="D258" s="168">
        <v>91</v>
      </c>
      <c r="E258" s="168">
        <v>6</v>
      </c>
    </row>
    <row r="259" spans="1:5" ht="12.75">
      <c r="A259" s="167" t="s">
        <v>1836</v>
      </c>
      <c r="B259" s="168">
        <v>386</v>
      </c>
      <c r="C259" s="167" t="s">
        <v>1827</v>
      </c>
      <c r="D259" s="168">
        <v>110</v>
      </c>
      <c r="E259" s="168">
        <v>8</v>
      </c>
    </row>
    <row r="260" spans="1:5" ht="12.75">
      <c r="A260" s="167" t="s">
        <v>1837</v>
      </c>
      <c r="B260" s="168">
        <v>386</v>
      </c>
      <c r="C260" s="167" t="s">
        <v>1827</v>
      </c>
      <c r="D260" s="168">
        <v>103</v>
      </c>
      <c r="E260" s="168">
        <v>2</v>
      </c>
    </row>
    <row r="261" spans="1:5" ht="12.75">
      <c r="A261" s="167" t="s">
        <v>1838</v>
      </c>
      <c r="B261" s="168">
        <v>386</v>
      </c>
      <c r="C261" s="167" t="s">
        <v>1827</v>
      </c>
      <c r="D261" s="168">
        <v>14</v>
      </c>
      <c r="E261" s="168" t="s">
        <v>1083</v>
      </c>
    </row>
    <row r="262" spans="1:5" ht="12.75">
      <c r="A262" s="167" t="s">
        <v>1839</v>
      </c>
      <c r="B262" s="168">
        <v>386</v>
      </c>
      <c r="C262" s="167" t="s">
        <v>1827</v>
      </c>
      <c r="D262" s="168">
        <v>114</v>
      </c>
      <c r="E262" s="168" t="s">
        <v>1083</v>
      </c>
    </row>
    <row r="263" spans="1:5" ht="12.75">
      <c r="A263" s="167" t="s">
        <v>1840</v>
      </c>
      <c r="B263" s="168">
        <v>386</v>
      </c>
      <c r="C263" s="167" t="s">
        <v>1827</v>
      </c>
      <c r="D263" s="168">
        <v>26</v>
      </c>
      <c r="E263" s="168">
        <v>3</v>
      </c>
    </row>
    <row r="264" spans="1:5" ht="12.75">
      <c r="A264" s="167" t="s">
        <v>1841</v>
      </c>
      <c r="B264" s="168">
        <v>386</v>
      </c>
      <c r="C264" s="167" t="s">
        <v>1827</v>
      </c>
      <c r="D264" s="168">
        <v>55</v>
      </c>
      <c r="E264" s="168">
        <v>7</v>
      </c>
    </row>
    <row r="265" spans="1:5" ht="12.75">
      <c r="A265" s="167" t="s">
        <v>1842</v>
      </c>
      <c r="B265" s="168">
        <v>386</v>
      </c>
      <c r="C265" s="167" t="s">
        <v>1827</v>
      </c>
      <c r="D265" s="168">
        <v>88</v>
      </c>
      <c r="E265" s="168">
        <v>1</v>
      </c>
    </row>
    <row r="266" spans="1:5" ht="12.75">
      <c r="A266" s="167" t="s">
        <v>1843</v>
      </c>
      <c r="B266" s="168">
        <v>386</v>
      </c>
      <c r="C266" s="167" t="s">
        <v>1827</v>
      </c>
      <c r="D266" s="168">
        <v>77</v>
      </c>
      <c r="E266" s="168">
        <v>5</v>
      </c>
    </row>
    <row r="267" spans="1:5" ht="12.75">
      <c r="A267" s="167" t="s">
        <v>1844</v>
      </c>
      <c r="B267" s="168">
        <v>386</v>
      </c>
      <c r="C267" s="167" t="s">
        <v>1827</v>
      </c>
      <c r="D267" s="168">
        <v>105</v>
      </c>
      <c r="E267" s="168" t="s">
        <v>1083</v>
      </c>
    </row>
    <row r="268" spans="1:5" ht="12.75">
      <c r="A268" s="167" t="s">
        <v>1845</v>
      </c>
      <c r="B268" s="168">
        <v>397</v>
      </c>
      <c r="C268" s="167" t="s">
        <v>1846</v>
      </c>
      <c r="D268" s="168">
        <v>62</v>
      </c>
      <c r="E268" s="168">
        <v>4</v>
      </c>
    </row>
    <row r="269" spans="1:5" ht="12.75">
      <c r="A269" s="167" t="s">
        <v>1847</v>
      </c>
      <c r="B269" s="168">
        <v>397</v>
      </c>
      <c r="C269" s="167" t="s">
        <v>1846</v>
      </c>
      <c r="D269" s="168">
        <v>10</v>
      </c>
      <c r="E269" s="168">
        <v>33</v>
      </c>
    </row>
    <row r="270" spans="1:5" ht="12.75">
      <c r="A270" s="167" t="s">
        <v>1848</v>
      </c>
      <c r="B270" s="168">
        <v>397</v>
      </c>
      <c r="C270" s="167" t="s">
        <v>1846</v>
      </c>
      <c r="D270" s="168">
        <v>75</v>
      </c>
      <c r="E270" s="168">
        <v>30</v>
      </c>
    </row>
    <row r="271" spans="1:5" ht="12.75">
      <c r="A271" s="167" t="s">
        <v>1849</v>
      </c>
      <c r="B271" s="168">
        <v>397</v>
      </c>
      <c r="C271" s="167" t="s">
        <v>1846</v>
      </c>
      <c r="D271" s="168">
        <v>2</v>
      </c>
      <c r="E271" s="168">
        <v>13</v>
      </c>
    </row>
    <row r="272" spans="1:5" ht="12.75">
      <c r="A272" s="167" t="s">
        <v>1850</v>
      </c>
      <c r="B272" s="168">
        <v>397</v>
      </c>
      <c r="C272" s="167" t="s">
        <v>1846</v>
      </c>
      <c r="D272" s="168">
        <v>27</v>
      </c>
      <c r="E272" s="168">
        <v>2</v>
      </c>
    </row>
    <row r="273" spans="1:5" ht="12.75">
      <c r="A273" s="167" t="s">
        <v>1851</v>
      </c>
      <c r="B273" s="168">
        <v>397</v>
      </c>
      <c r="C273" s="167" t="s">
        <v>1846</v>
      </c>
      <c r="D273" s="168">
        <v>86</v>
      </c>
      <c r="E273" s="168">
        <v>28</v>
      </c>
    </row>
    <row r="274" spans="1:5" ht="12.75">
      <c r="A274" s="167" t="s">
        <v>1852</v>
      </c>
      <c r="B274" s="168">
        <v>397</v>
      </c>
      <c r="C274" s="167" t="s">
        <v>1846</v>
      </c>
      <c r="D274" s="168">
        <v>103</v>
      </c>
      <c r="E274" s="168">
        <v>34</v>
      </c>
    </row>
    <row r="275" spans="1:5" ht="12.75">
      <c r="A275" s="167" t="s">
        <v>1853</v>
      </c>
      <c r="B275" s="168">
        <v>397</v>
      </c>
      <c r="C275" s="167" t="s">
        <v>1846</v>
      </c>
      <c r="D275" s="168">
        <v>101</v>
      </c>
      <c r="E275" s="168">
        <v>35</v>
      </c>
    </row>
    <row r="276" spans="1:5" ht="12.75">
      <c r="A276" s="167" t="s">
        <v>1854</v>
      </c>
      <c r="B276" s="168">
        <v>397</v>
      </c>
      <c r="C276" s="167" t="s">
        <v>1846</v>
      </c>
      <c r="D276" s="168">
        <v>99</v>
      </c>
      <c r="E276" s="168">
        <v>36</v>
      </c>
    </row>
    <row r="277" spans="1:5" ht="12.75">
      <c r="A277" s="167" t="s">
        <v>1855</v>
      </c>
      <c r="B277" s="168">
        <v>397</v>
      </c>
      <c r="C277" s="167" t="s">
        <v>1846</v>
      </c>
      <c r="D277" s="168">
        <v>73</v>
      </c>
      <c r="E277" s="168">
        <v>25</v>
      </c>
    </row>
    <row r="278" spans="1:5" ht="12.75">
      <c r="A278" s="167" t="s">
        <v>1856</v>
      </c>
      <c r="B278" s="168">
        <v>397</v>
      </c>
      <c r="C278" s="167" t="s">
        <v>1846</v>
      </c>
      <c r="D278" s="168">
        <v>96</v>
      </c>
      <c r="E278" s="168" t="s">
        <v>1083</v>
      </c>
    </row>
    <row r="279" spans="1:5" ht="12.75">
      <c r="A279" s="167" t="s">
        <v>1857</v>
      </c>
      <c r="B279" s="168">
        <v>397</v>
      </c>
      <c r="C279" s="167" t="s">
        <v>1846</v>
      </c>
      <c r="D279" s="168">
        <v>77</v>
      </c>
      <c r="E279" s="168">
        <v>9</v>
      </c>
    </row>
    <row r="280" spans="1:5" ht="12.75">
      <c r="A280" s="167" t="s">
        <v>1858</v>
      </c>
      <c r="B280" s="168">
        <v>397</v>
      </c>
      <c r="C280" s="167" t="s">
        <v>1846</v>
      </c>
      <c r="D280" s="168">
        <v>87</v>
      </c>
      <c r="E280" s="168">
        <v>29</v>
      </c>
    </row>
    <row r="281" spans="1:5" ht="12.75">
      <c r="A281" s="167" t="s">
        <v>1859</v>
      </c>
      <c r="B281" s="168">
        <v>397</v>
      </c>
      <c r="C281" s="167" t="s">
        <v>1846</v>
      </c>
      <c r="D281" s="168">
        <v>67</v>
      </c>
      <c r="E281" s="168">
        <v>24</v>
      </c>
    </row>
    <row r="282" spans="1:5" ht="12.75">
      <c r="A282" s="167" t="s">
        <v>1860</v>
      </c>
      <c r="B282" s="168">
        <v>397</v>
      </c>
      <c r="C282" s="167" t="s">
        <v>1846</v>
      </c>
      <c r="D282" s="168">
        <v>78</v>
      </c>
      <c r="E282" s="168">
        <v>31</v>
      </c>
    </row>
    <row r="283" spans="1:5" ht="12.75">
      <c r="A283" s="167" t="s">
        <v>1861</v>
      </c>
      <c r="B283" s="168">
        <v>397</v>
      </c>
      <c r="C283" s="167" t="s">
        <v>1846</v>
      </c>
      <c r="D283" s="168">
        <v>97</v>
      </c>
      <c r="E283" s="168">
        <v>37</v>
      </c>
    </row>
    <row r="284" spans="1:5" ht="12.75">
      <c r="A284" s="167" t="s">
        <v>1862</v>
      </c>
      <c r="B284" s="168">
        <v>397</v>
      </c>
      <c r="C284" s="167" t="s">
        <v>1846</v>
      </c>
      <c r="D284" s="168">
        <v>45</v>
      </c>
      <c r="E284" s="168">
        <v>18</v>
      </c>
    </row>
    <row r="285" spans="1:5" ht="12.75">
      <c r="A285" s="167" t="s">
        <v>1863</v>
      </c>
      <c r="B285" s="168">
        <v>397</v>
      </c>
      <c r="C285" s="167" t="s">
        <v>1846</v>
      </c>
      <c r="D285" s="168">
        <v>102</v>
      </c>
      <c r="E285" s="168">
        <v>38</v>
      </c>
    </row>
    <row r="286" spans="1:5" ht="12.75">
      <c r="A286" s="167" t="s">
        <v>1864</v>
      </c>
      <c r="B286" s="168">
        <v>397</v>
      </c>
      <c r="C286" s="167" t="s">
        <v>1846</v>
      </c>
      <c r="D286" s="168">
        <v>14</v>
      </c>
      <c r="E286" s="168">
        <v>16</v>
      </c>
    </row>
    <row r="287" spans="1:5" ht="12.75">
      <c r="A287" s="167" t="s">
        <v>1865</v>
      </c>
      <c r="B287" s="168">
        <v>397</v>
      </c>
      <c r="C287" s="167" t="s">
        <v>1846</v>
      </c>
      <c r="D287" s="168">
        <v>7</v>
      </c>
      <c r="E287" s="168">
        <v>15</v>
      </c>
    </row>
    <row r="288" spans="1:5" ht="12.75">
      <c r="A288" s="167" t="s">
        <v>1866</v>
      </c>
      <c r="B288" s="168">
        <v>397</v>
      </c>
      <c r="C288" s="167" t="s">
        <v>1846</v>
      </c>
      <c r="D288" s="168">
        <v>88</v>
      </c>
      <c r="E288" s="168">
        <v>32</v>
      </c>
    </row>
    <row r="289" spans="1:5" ht="12.75">
      <c r="A289" s="167" t="s">
        <v>1867</v>
      </c>
      <c r="B289" s="168">
        <v>397</v>
      </c>
      <c r="C289" s="167" t="s">
        <v>1846</v>
      </c>
      <c r="D289" s="168">
        <v>95</v>
      </c>
      <c r="E289" s="168">
        <v>40</v>
      </c>
    </row>
    <row r="290" spans="1:5" ht="12.75">
      <c r="A290" s="167" t="s">
        <v>1868</v>
      </c>
      <c r="B290" s="168">
        <v>397</v>
      </c>
      <c r="C290" s="167" t="s">
        <v>1846</v>
      </c>
      <c r="D290" s="168">
        <v>94</v>
      </c>
      <c r="E290" s="168">
        <v>39</v>
      </c>
    </row>
    <row r="291" spans="1:5" ht="12.75">
      <c r="A291" s="167" t="s">
        <v>1869</v>
      </c>
      <c r="B291" s="168">
        <v>397</v>
      </c>
      <c r="C291" s="167" t="s">
        <v>1846</v>
      </c>
      <c r="D291" s="168">
        <v>55</v>
      </c>
      <c r="E291" s="168">
        <v>20</v>
      </c>
    </row>
    <row r="292" spans="1:5" ht="12.75">
      <c r="A292" s="167" t="s">
        <v>1870</v>
      </c>
      <c r="B292" s="168">
        <v>397</v>
      </c>
      <c r="C292" s="167" t="s">
        <v>1846</v>
      </c>
      <c r="D292" s="168">
        <v>8</v>
      </c>
      <c r="E292" s="168">
        <v>12</v>
      </c>
    </row>
    <row r="293" spans="1:5" ht="12.75">
      <c r="A293" s="167" t="s">
        <v>1871</v>
      </c>
      <c r="B293" s="168">
        <v>397</v>
      </c>
      <c r="C293" s="167" t="s">
        <v>1846</v>
      </c>
      <c r="D293" s="168">
        <v>79</v>
      </c>
      <c r="E293" s="168">
        <v>10</v>
      </c>
    </row>
    <row r="294" spans="1:5" ht="12.75">
      <c r="A294" s="167" t="s">
        <v>1872</v>
      </c>
      <c r="B294" s="168">
        <v>397</v>
      </c>
      <c r="C294" s="167" t="s">
        <v>1846</v>
      </c>
      <c r="D294" s="168">
        <v>5</v>
      </c>
      <c r="E294" s="168">
        <v>5</v>
      </c>
    </row>
    <row r="295" spans="1:5" ht="12.75">
      <c r="A295" s="167" t="s">
        <v>1873</v>
      </c>
      <c r="B295" s="168">
        <v>397</v>
      </c>
      <c r="C295" s="167" t="s">
        <v>1846</v>
      </c>
      <c r="D295" s="168">
        <v>57</v>
      </c>
      <c r="E295" s="168">
        <v>21</v>
      </c>
    </row>
    <row r="296" spans="1:5" ht="12.75">
      <c r="A296" s="167" t="s">
        <v>1874</v>
      </c>
      <c r="B296" s="168">
        <v>397</v>
      </c>
      <c r="C296" s="167" t="s">
        <v>1846</v>
      </c>
      <c r="D296" s="168">
        <v>38</v>
      </c>
      <c r="E296" s="168">
        <v>17</v>
      </c>
    </row>
    <row r="297" spans="1:5" ht="12.75">
      <c r="A297" s="167" t="s">
        <v>1875</v>
      </c>
      <c r="B297" s="168">
        <v>397</v>
      </c>
      <c r="C297" s="167" t="s">
        <v>1846</v>
      </c>
      <c r="D297" s="168">
        <v>6</v>
      </c>
      <c r="E297" s="168">
        <v>14</v>
      </c>
    </row>
    <row r="298" spans="1:5" ht="12.75">
      <c r="A298" s="167" t="s">
        <v>1876</v>
      </c>
      <c r="B298" s="168">
        <v>397</v>
      </c>
      <c r="C298" s="167" t="s">
        <v>1846</v>
      </c>
      <c r="D298" s="168">
        <v>84</v>
      </c>
      <c r="E298" s="168">
        <v>27</v>
      </c>
    </row>
    <row r="299" spans="1:5" ht="12.75">
      <c r="A299" s="167" t="s">
        <v>1877</v>
      </c>
      <c r="B299" s="168">
        <v>397</v>
      </c>
      <c r="C299" s="167" t="s">
        <v>1846</v>
      </c>
      <c r="D299" s="168">
        <v>53</v>
      </c>
      <c r="E299" s="168">
        <v>7</v>
      </c>
    </row>
    <row r="300" spans="1:5" ht="12.75">
      <c r="A300" s="167" t="s">
        <v>1878</v>
      </c>
      <c r="B300" s="168">
        <v>397</v>
      </c>
      <c r="C300" s="167" t="s">
        <v>1846</v>
      </c>
      <c r="D300" s="168">
        <v>93</v>
      </c>
      <c r="E300" s="168">
        <v>41</v>
      </c>
    </row>
    <row r="301" spans="1:5" ht="12.75">
      <c r="A301" s="167" t="s">
        <v>1879</v>
      </c>
      <c r="B301" s="168">
        <v>397</v>
      </c>
      <c r="C301" s="167" t="s">
        <v>1846</v>
      </c>
      <c r="D301" s="168">
        <v>59</v>
      </c>
      <c r="E301" s="168">
        <v>22</v>
      </c>
    </row>
    <row r="302" spans="1:5" ht="12.75">
      <c r="A302" s="167" t="s">
        <v>1880</v>
      </c>
      <c r="B302" s="168">
        <v>397</v>
      </c>
      <c r="C302" s="167" t="s">
        <v>1846</v>
      </c>
      <c r="D302" s="168">
        <v>56</v>
      </c>
      <c r="E302" s="168">
        <v>3</v>
      </c>
    </row>
    <row r="303" spans="1:5" ht="12.75">
      <c r="A303" s="167" t="s">
        <v>1881</v>
      </c>
      <c r="B303" s="168">
        <v>397</v>
      </c>
      <c r="C303" s="167" t="s">
        <v>1846</v>
      </c>
      <c r="D303" s="168">
        <v>15</v>
      </c>
      <c r="E303" s="168">
        <v>11</v>
      </c>
    </row>
    <row r="304" spans="1:5" ht="12.75">
      <c r="A304" s="167" t="s">
        <v>1772</v>
      </c>
      <c r="B304" s="168">
        <v>397</v>
      </c>
      <c r="C304" s="167" t="s">
        <v>1846</v>
      </c>
      <c r="D304" s="168">
        <v>98</v>
      </c>
      <c r="E304" s="168">
        <v>42</v>
      </c>
    </row>
    <row r="305" spans="1:5" ht="12.75">
      <c r="A305" s="167" t="s">
        <v>1882</v>
      </c>
      <c r="B305" s="168">
        <v>397</v>
      </c>
      <c r="C305" s="167" t="s">
        <v>1846</v>
      </c>
      <c r="D305" s="168">
        <v>82</v>
      </c>
      <c r="E305" s="168">
        <v>8</v>
      </c>
    </row>
    <row r="306" spans="1:5" ht="12.75">
      <c r="A306" s="167" t="s">
        <v>1883</v>
      </c>
      <c r="B306" s="168">
        <v>397</v>
      </c>
      <c r="C306" s="167" t="s">
        <v>1846</v>
      </c>
      <c r="D306" s="168">
        <v>4</v>
      </c>
      <c r="E306" s="168">
        <v>6</v>
      </c>
    </row>
    <row r="307" spans="1:5" ht="12.75">
      <c r="A307" s="167" t="s">
        <v>1884</v>
      </c>
      <c r="B307" s="168">
        <v>397</v>
      </c>
      <c r="C307" s="167" t="s">
        <v>1846</v>
      </c>
      <c r="D307" s="168">
        <v>89</v>
      </c>
      <c r="E307" s="168">
        <v>43</v>
      </c>
    </row>
    <row r="308" spans="1:5" ht="12.75">
      <c r="A308" s="167" t="s">
        <v>1885</v>
      </c>
      <c r="B308" s="168">
        <v>397</v>
      </c>
      <c r="C308" s="167" t="s">
        <v>1846</v>
      </c>
      <c r="D308" s="168">
        <v>104</v>
      </c>
      <c r="E308" s="168">
        <v>44</v>
      </c>
    </row>
    <row r="309" spans="1:5" ht="12.75">
      <c r="A309" s="167" t="s">
        <v>1886</v>
      </c>
      <c r="B309" s="168">
        <v>397</v>
      </c>
      <c r="C309" s="167" t="s">
        <v>1846</v>
      </c>
      <c r="D309" s="168">
        <v>52</v>
      </c>
      <c r="E309" s="168">
        <v>19</v>
      </c>
    </row>
    <row r="310" spans="1:5" ht="12.75">
      <c r="A310" s="167" t="s">
        <v>1887</v>
      </c>
      <c r="B310" s="168">
        <v>397</v>
      </c>
      <c r="C310" s="167" t="s">
        <v>1846</v>
      </c>
      <c r="D310" s="168">
        <v>100</v>
      </c>
      <c r="E310" s="168">
        <v>45</v>
      </c>
    </row>
    <row r="311" spans="1:5" ht="12.75">
      <c r="A311" s="167" t="s">
        <v>1888</v>
      </c>
      <c r="B311" s="168">
        <v>397</v>
      </c>
      <c r="C311" s="167" t="s">
        <v>1846</v>
      </c>
      <c r="D311" s="168">
        <v>51</v>
      </c>
      <c r="E311" s="168">
        <v>1</v>
      </c>
    </row>
    <row r="312" spans="1:5" ht="12.75">
      <c r="A312" s="167" t="s">
        <v>1889</v>
      </c>
      <c r="B312" s="168">
        <v>411</v>
      </c>
      <c r="C312" s="167" t="s">
        <v>1890</v>
      </c>
      <c r="D312" s="168">
        <v>92</v>
      </c>
      <c r="E312" s="168" t="s">
        <v>1083</v>
      </c>
    </row>
    <row r="313" spans="1:5" ht="12.75">
      <c r="A313" s="167" t="s">
        <v>1891</v>
      </c>
      <c r="B313" s="168">
        <v>411</v>
      </c>
      <c r="C313" s="167" t="s">
        <v>1890</v>
      </c>
      <c r="D313" s="168">
        <v>107</v>
      </c>
      <c r="E313" s="168">
        <v>1</v>
      </c>
    </row>
    <row r="314" spans="1:5" ht="12.75">
      <c r="A314" s="167" t="s">
        <v>1892</v>
      </c>
      <c r="B314" s="168">
        <v>411</v>
      </c>
      <c r="C314" s="167" t="s">
        <v>1890</v>
      </c>
      <c r="D314" s="168">
        <v>21</v>
      </c>
      <c r="E314" s="168" t="s">
        <v>1083</v>
      </c>
    </row>
    <row r="315" spans="1:5" ht="12.75">
      <c r="A315" s="167" t="s">
        <v>1893</v>
      </c>
      <c r="B315" s="168">
        <v>411</v>
      </c>
      <c r="C315" s="167" t="s">
        <v>1890</v>
      </c>
      <c r="D315" s="168">
        <v>80</v>
      </c>
      <c r="E315" s="168" t="s">
        <v>1083</v>
      </c>
    </row>
    <row r="316" spans="1:5" ht="12.75">
      <c r="A316" s="167" t="s">
        <v>1894</v>
      </c>
      <c r="B316" s="168">
        <v>411</v>
      </c>
      <c r="C316" s="167" t="s">
        <v>1890</v>
      </c>
      <c r="D316" s="168">
        <v>82</v>
      </c>
      <c r="E316" s="168" t="s">
        <v>1083</v>
      </c>
    </row>
    <row r="317" spans="1:5" ht="12.75">
      <c r="A317" s="167" t="s">
        <v>1895</v>
      </c>
      <c r="B317" s="168">
        <v>411</v>
      </c>
      <c r="C317" s="167" t="s">
        <v>1890</v>
      </c>
      <c r="D317" s="168">
        <v>18</v>
      </c>
      <c r="E317" s="168">
        <v>4</v>
      </c>
    </row>
    <row r="318" spans="1:5" ht="12.75">
      <c r="A318" s="167" t="s">
        <v>1896</v>
      </c>
      <c r="B318" s="168">
        <v>411</v>
      </c>
      <c r="C318" s="167" t="s">
        <v>1890</v>
      </c>
      <c r="D318" s="168">
        <v>87</v>
      </c>
      <c r="E318" s="168">
        <v>3</v>
      </c>
    </row>
    <row r="319" spans="1:5" ht="12.75">
      <c r="A319" s="167" t="s">
        <v>1897</v>
      </c>
      <c r="B319" s="168">
        <v>411</v>
      </c>
      <c r="C319" s="167" t="s">
        <v>1890</v>
      </c>
      <c r="D319" s="168">
        <v>42</v>
      </c>
      <c r="E319" s="168" t="s">
        <v>1083</v>
      </c>
    </row>
    <row r="320" spans="1:5" ht="12.75">
      <c r="A320" s="167" t="s">
        <v>1621</v>
      </c>
      <c r="B320" s="168">
        <v>411</v>
      </c>
      <c r="C320" s="167" t="s">
        <v>1890</v>
      </c>
      <c r="D320" s="168">
        <v>8</v>
      </c>
      <c r="E320" s="168">
        <v>8</v>
      </c>
    </row>
    <row r="321" spans="1:5" ht="12.75">
      <c r="A321" s="167" t="s">
        <v>1898</v>
      </c>
      <c r="B321" s="168">
        <v>411</v>
      </c>
      <c r="C321" s="167" t="s">
        <v>1890</v>
      </c>
      <c r="D321" s="168">
        <v>34</v>
      </c>
      <c r="E321" s="168" t="s">
        <v>1083</v>
      </c>
    </row>
    <row r="322" spans="1:5" ht="12.75">
      <c r="A322" s="167" t="s">
        <v>0</v>
      </c>
      <c r="B322" s="168">
        <v>411</v>
      </c>
      <c r="C322" s="167" t="s">
        <v>1890</v>
      </c>
      <c r="D322" s="168">
        <v>78</v>
      </c>
      <c r="E322" s="168" t="s">
        <v>1083</v>
      </c>
    </row>
    <row r="323" spans="1:5" ht="12.75">
      <c r="A323" s="167" t="s">
        <v>1</v>
      </c>
      <c r="B323" s="168">
        <v>411</v>
      </c>
      <c r="C323" s="167" t="s">
        <v>1890</v>
      </c>
      <c r="D323" s="168">
        <v>69</v>
      </c>
      <c r="E323" s="168" t="s">
        <v>1083</v>
      </c>
    </row>
    <row r="324" spans="1:5" ht="12.75">
      <c r="A324" s="167" t="s">
        <v>2</v>
      </c>
      <c r="B324" s="168">
        <v>411</v>
      </c>
      <c r="C324" s="167" t="s">
        <v>1890</v>
      </c>
      <c r="D324" s="168">
        <v>70</v>
      </c>
      <c r="E324" s="168" t="s">
        <v>1083</v>
      </c>
    </row>
    <row r="325" spans="1:5" ht="12.75">
      <c r="A325" s="167" t="s">
        <v>3</v>
      </c>
      <c r="B325" s="168">
        <v>411</v>
      </c>
      <c r="C325" s="167" t="s">
        <v>1890</v>
      </c>
      <c r="D325" s="168">
        <v>58</v>
      </c>
      <c r="E325" s="168">
        <v>2</v>
      </c>
    </row>
    <row r="326" spans="1:5" ht="12.75">
      <c r="A326" s="167" t="s">
        <v>4</v>
      </c>
      <c r="B326" s="168">
        <v>411</v>
      </c>
      <c r="C326" s="167" t="s">
        <v>1890</v>
      </c>
      <c r="D326" s="168">
        <v>103</v>
      </c>
      <c r="E326" s="168">
        <v>7</v>
      </c>
    </row>
    <row r="327" spans="1:5" ht="12.75">
      <c r="A327" s="167" t="s">
        <v>5</v>
      </c>
      <c r="B327" s="168">
        <v>411</v>
      </c>
      <c r="C327" s="167" t="s">
        <v>1890</v>
      </c>
      <c r="D327" s="168">
        <v>91</v>
      </c>
      <c r="E327" s="168" t="s">
        <v>1083</v>
      </c>
    </row>
    <row r="328" spans="1:5" ht="12.75">
      <c r="A328" s="167" t="s">
        <v>6</v>
      </c>
      <c r="B328" s="168">
        <v>411</v>
      </c>
      <c r="C328" s="167" t="s">
        <v>1890</v>
      </c>
      <c r="D328" s="168">
        <v>71</v>
      </c>
      <c r="E328" s="168" t="s">
        <v>1083</v>
      </c>
    </row>
    <row r="329" spans="1:5" ht="12.75">
      <c r="A329" s="167" t="s">
        <v>7</v>
      </c>
      <c r="B329" s="168">
        <v>411</v>
      </c>
      <c r="C329" s="167" t="s">
        <v>1890</v>
      </c>
      <c r="D329" s="168">
        <v>76</v>
      </c>
      <c r="E329" s="168" t="s">
        <v>1083</v>
      </c>
    </row>
    <row r="330" spans="1:5" ht="12.75">
      <c r="A330" s="167" t="s">
        <v>8</v>
      </c>
      <c r="B330" s="168">
        <v>411</v>
      </c>
      <c r="C330" s="167" t="s">
        <v>1890</v>
      </c>
      <c r="D330" s="168">
        <v>55</v>
      </c>
      <c r="E330" s="168" t="s">
        <v>1083</v>
      </c>
    </row>
    <row r="331" spans="1:5" ht="12.75">
      <c r="A331" s="167" t="s">
        <v>9</v>
      </c>
      <c r="B331" s="168">
        <v>411</v>
      </c>
      <c r="C331" s="167" t="s">
        <v>1890</v>
      </c>
      <c r="D331" s="168">
        <v>10</v>
      </c>
      <c r="E331" s="168" t="s">
        <v>1083</v>
      </c>
    </row>
    <row r="332" spans="1:5" ht="12.75">
      <c r="A332" s="167" t="s">
        <v>10</v>
      </c>
      <c r="B332" s="168">
        <v>411</v>
      </c>
      <c r="C332" s="167" t="s">
        <v>1890</v>
      </c>
      <c r="D332" s="168">
        <v>15</v>
      </c>
      <c r="E332" s="168" t="s">
        <v>1083</v>
      </c>
    </row>
    <row r="333" spans="1:5" ht="12.75">
      <c r="A333" s="167" t="s">
        <v>11</v>
      </c>
      <c r="B333" s="168">
        <v>411</v>
      </c>
      <c r="C333" s="167" t="s">
        <v>1890</v>
      </c>
      <c r="D333" s="168">
        <v>60</v>
      </c>
      <c r="E333" s="168" t="s">
        <v>1083</v>
      </c>
    </row>
    <row r="334" spans="1:5" ht="12.75">
      <c r="A334" s="167" t="s">
        <v>1776</v>
      </c>
      <c r="B334" s="168">
        <v>411</v>
      </c>
      <c r="C334" s="167" t="s">
        <v>1890</v>
      </c>
      <c r="D334" s="168">
        <v>1</v>
      </c>
      <c r="E334" s="168">
        <v>6</v>
      </c>
    </row>
    <row r="335" spans="1:5" ht="12.75">
      <c r="A335" s="167" t="s">
        <v>1720</v>
      </c>
      <c r="B335" s="168">
        <v>411</v>
      </c>
      <c r="C335" s="167" t="s">
        <v>1890</v>
      </c>
      <c r="D335" s="168">
        <v>111</v>
      </c>
      <c r="E335" s="168">
        <v>5</v>
      </c>
    </row>
    <row r="336" spans="1:5" ht="12.75">
      <c r="A336" s="167" t="s">
        <v>12</v>
      </c>
      <c r="B336" s="168">
        <v>411</v>
      </c>
      <c r="C336" s="167" t="s">
        <v>1890</v>
      </c>
      <c r="D336" s="168">
        <v>28</v>
      </c>
      <c r="E336" s="168" t="s">
        <v>1083</v>
      </c>
    </row>
    <row r="337" spans="1:5" ht="12.75">
      <c r="A337" s="167" t="s">
        <v>13</v>
      </c>
      <c r="B337" s="168">
        <v>411</v>
      </c>
      <c r="C337" s="167" t="s">
        <v>1890</v>
      </c>
      <c r="D337" s="168">
        <v>110</v>
      </c>
      <c r="E337" s="168" t="s">
        <v>1083</v>
      </c>
    </row>
    <row r="338" spans="1:5" ht="12.75">
      <c r="A338" s="167" t="s">
        <v>14</v>
      </c>
      <c r="B338" s="168">
        <v>411</v>
      </c>
      <c r="C338" s="167" t="s">
        <v>1890</v>
      </c>
      <c r="D338" s="168">
        <v>56</v>
      </c>
      <c r="E338" s="168" t="s">
        <v>1083</v>
      </c>
    </row>
    <row r="339" spans="1:5" ht="12.75">
      <c r="A339" s="167" t="s">
        <v>15</v>
      </c>
      <c r="B339" s="168">
        <v>425</v>
      </c>
      <c r="C339" s="167" t="s">
        <v>16</v>
      </c>
      <c r="D339" s="168">
        <v>129</v>
      </c>
      <c r="E339" s="168" t="s">
        <v>1083</v>
      </c>
    </row>
    <row r="340" spans="1:5" ht="12.75">
      <c r="A340" s="167" t="s">
        <v>17</v>
      </c>
      <c r="B340" s="168">
        <v>425</v>
      </c>
      <c r="C340" s="167" t="s">
        <v>16</v>
      </c>
      <c r="D340" s="168">
        <v>132</v>
      </c>
      <c r="E340" s="168">
        <v>8</v>
      </c>
    </row>
    <row r="341" spans="1:5" ht="12.75">
      <c r="A341" s="167" t="s">
        <v>18</v>
      </c>
      <c r="B341" s="168">
        <v>425</v>
      </c>
      <c r="C341" s="167" t="s">
        <v>16</v>
      </c>
      <c r="D341" s="168">
        <v>105</v>
      </c>
      <c r="E341" s="168">
        <v>10</v>
      </c>
    </row>
    <row r="342" spans="1:5" ht="12.75">
      <c r="A342" s="167" t="s">
        <v>19</v>
      </c>
      <c r="B342" s="168">
        <v>425</v>
      </c>
      <c r="C342" s="167" t="s">
        <v>16</v>
      </c>
      <c r="D342" s="168">
        <v>139</v>
      </c>
      <c r="E342" s="168" t="s">
        <v>1083</v>
      </c>
    </row>
    <row r="343" spans="1:5" ht="12.75">
      <c r="A343" s="167" t="s">
        <v>20</v>
      </c>
      <c r="B343" s="168">
        <v>425</v>
      </c>
      <c r="C343" s="167" t="s">
        <v>16</v>
      </c>
      <c r="D343" s="168">
        <v>155</v>
      </c>
      <c r="E343" s="168">
        <v>4</v>
      </c>
    </row>
    <row r="344" spans="1:5" ht="12.75">
      <c r="A344" s="167" t="s">
        <v>21</v>
      </c>
      <c r="B344" s="168">
        <v>425</v>
      </c>
      <c r="C344" s="167" t="s">
        <v>16</v>
      </c>
      <c r="D344" s="168">
        <v>109</v>
      </c>
      <c r="E344" s="168" t="s">
        <v>1083</v>
      </c>
    </row>
    <row r="345" spans="1:5" ht="12.75">
      <c r="A345" s="167" t="s">
        <v>22</v>
      </c>
      <c r="B345" s="168">
        <v>425</v>
      </c>
      <c r="C345" s="167" t="s">
        <v>16</v>
      </c>
      <c r="D345" s="168">
        <v>12</v>
      </c>
      <c r="E345" s="168">
        <v>11</v>
      </c>
    </row>
    <row r="346" spans="1:5" ht="12.75">
      <c r="A346" s="167" t="s">
        <v>23</v>
      </c>
      <c r="B346" s="168">
        <v>425</v>
      </c>
      <c r="C346" s="167" t="s">
        <v>16</v>
      </c>
      <c r="D346" s="168">
        <v>106</v>
      </c>
      <c r="E346" s="168" t="s">
        <v>1083</v>
      </c>
    </row>
    <row r="347" spans="1:5" ht="12.75">
      <c r="A347" s="167" t="s">
        <v>24</v>
      </c>
      <c r="B347" s="168">
        <v>425</v>
      </c>
      <c r="C347" s="167" t="s">
        <v>16</v>
      </c>
      <c r="D347" s="168">
        <v>104</v>
      </c>
      <c r="E347" s="168" t="s">
        <v>1083</v>
      </c>
    </row>
    <row r="348" spans="1:5" ht="12.75">
      <c r="A348" s="167" t="s">
        <v>25</v>
      </c>
      <c r="B348" s="168">
        <v>425</v>
      </c>
      <c r="C348" s="167" t="s">
        <v>16</v>
      </c>
      <c r="D348" s="168">
        <v>11</v>
      </c>
      <c r="E348" s="168" t="s">
        <v>1083</v>
      </c>
    </row>
    <row r="349" spans="1:5" ht="12.75">
      <c r="A349" s="167" t="s">
        <v>26</v>
      </c>
      <c r="B349" s="168">
        <v>425</v>
      </c>
      <c r="C349" s="167" t="s">
        <v>16</v>
      </c>
      <c r="D349" s="168">
        <v>124</v>
      </c>
      <c r="E349" s="168">
        <v>3</v>
      </c>
    </row>
    <row r="350" spans="1:5" ht="12.75">
      <c r="A350" s="167" t="s">
        <v>27</v>
      </c>
      <c r="B350" s="168">
        <v>425</v>
      </c>
      <c r="C350" s="167" t="s">
        <v>16</v>
      </c>
      <c r="D350" s="168">
        <v>71</v>
      </c>
      <c r="E350" s="168" t="s">
        <v>1083</v>
      </c>
    </row>
    <row r="351" spans="1:5" ht="12.75">
      <c r="A351" s="167" t="s">
        <v>28</v>
      </c>
      <c r="B351" s="168">
        <v>425</v>
      </c>
      <c r="C351" s="167" t="s">
        <v>16</v>
      </c>
      <c r="D351" s="168">
        <v>66</v>
      </c>
      <c r="E351" s="168" t="s">
        <v>1083</v>
      </c>
    </row>
    <row r="352" spans="1:5" ht="12.75">
      <c r="A352" s="167" t="s">
        <v>29</v>
      </c>
      <c r="B352" s="168">
        <v>425</v>
      </c>
      <c r="C352" s="167" t="s">
        <v>16</v>
      </c>
      <c r="D352" s="168">
        <v>108</v>
      </c>
      <c r="E352" s="168" t="s">
        <v>1083</v>
      </c>
    </row>
    <row r="353" spans="1:5" ht="12.75">
      <c r="A353" s="167" t="s">
        <v>30</v>
      </c>
      <c r="B353" s="168">
        <v>425</v>
      </c>
      <c r="C353" s="167" t="s">
        <v>16</v>
      </c>
      <c r="D353" s="168">
        <v>16</v>
      </c>
      <c r="E353" s="168" t="s">
        <v>1083</v>
      </c>
    </row>
    <row r="354" spans="1:5" ht="12.75">
      <c r="A354" s="167" t="s">
        <v>31</v>
      </c>
      <c r="B354" s="168">
        <v>425</v>
      </c>
      <c r="C354" s="167" t="s">
        <v>16</v>
      </c>
      <c r="D354" s="168">
        <v>128</v>
      </c>
      <c r="E354" s="168" t="s">
        <v>1083</v>
      </c>
    </row>
    <row r="355" spans="1:5" ht="12.75">
      <c r="A355" s="167" t="s">
        <v>32</v>
      </c>
      <c r="B355" s="168">
        <v>425</v>
      </c>
      <c r="C355" s="167" t="s">
        <v>16</v>
      </c>
      <c r="D355" s="168">
        <v>134</v>
      </c>
      <c r="E355" s="168" t="s">
        <v>1083</v>
      </c>
    </row>
    <row r="356" spans="1:5" ht="12.75">
      <c r="A356" s="167" t="s">
        <v>33</v>
      </c>
      <c r="B356" s="168">
        <v>425</v>
      </c>
      <c r="C356" s="167" t="s">
        <v>16</v>
      </c>
      <c r="D356" s="168">
        <v>80</v>
      </c>
      <c r="E356" s="168" t="s">
        <v>1083</v>
      </c>
    </row>
    <row r="357" spans="1:5" ht="12.75">
      <c r="A357" s="167" t="s">
        <v>34</v>
      </c>
      <c r="B357" s="168">
        <v>425</v>
      </c>
      <c r="C357" s="167" t="s">
        <v>16</v>
      </c>
      <c r="D357" s="168">
        <v>95</v>
      </c>
      <c r="E357" s="168" t="s">
        <v>1083</v>
      </c>
    </row>
    <row r="358" spans="1:5" ht="12.75">
      <c r="A358" s="167" t="s">
        <v>35</v>
      </c>
      <c r="B358" s="168">
        <v>425</v>
      </c>
      <c r="C358" s="167" t="s">
        <v>16</v>
      </c>
      <c r="D358" s="168">
        <v>135</v>
      </c>
      <c r="E358" s="168" t="s">
        <v>1083</v>
      </c>
    </row>
    <row r="359" spans="1:5" ht="12.75">
      <c r="A359" s="167" t="s">
        <v>36</v>
      </c>
      <c r="B359" s="168">
        <v>425</v>
      </c>
      <c r="C359" s="167" t="s">
        <v>16</v>
      </c>
      <c r="D359" s="168">
        <v>10</v>
      </c>
      <c r="E359" s="168">
        <v>5</v>
      </c>
    </row>
    <row r="360" spans="1:5" ht="12.75">
      <c r="A360" s="167" t="s">
        <v>37</v>
      </c>
      <c r="B360" s="168">
        <v>425</v>
      </c>
      <c r="C360" s="167" t="s">
        <v>16</v>
      </c>
      <c r="D360" s="168">
        <v>100</v>
      </c>
      <c r="E360" s="168">
        <v>12</v>
      </c>
    </row>
    <row r="361" spans="1:5" ht="12.75">
      <c r="A361" s="167" t="s">
        <v>38</v>
      </c>
      <c r="B361" s="168">
        <v>425</v>
      </c>
      <c r="C361" s="167" t="s">
        <v>16</v>
      </c>
      <c r="D361" s="168">
        <v>75</v>
      </c>
      <c r="E361" s="168" t="s">
        <v>1083</v>
      </c>
    </row>
    <row r="362" spans="1:5" ht="12.75">
      <c r="A362" s="167" t="s">
        <v>39</v>
      </c>
      <c r="B362" s="168">
        <v>425</v>
      </c>
      <c r="C362" s="167" t="s">
        <v>16</v>
      </c>
      <c r="D362" s="168">
        <v>103</v>
      </c>
      <c r="E362" s="168" t="s">
        <v>1083</v>
      </c>
    </row>
    <row r="363" spans="1:5" ht="12.75">
      <c r="A363" s="167" t="s">
        <v>40</v>
      </c>
      <c r="B363" s="168">
        <v>425</v>
      </c>
      <c r="C363" s="167" t="s">
        <v>16</v>
      </c>
      <c r="D363" s="168">
        <v>107</v>
      </c>
      <c r="E363" s="168" t="s">
        <v>1083</v>
      </c>
    </row>
    <row r="364" spans="1:5" ht="12.75">
      <c r="A364" s="167" t="s">
        <v>41</v>
      </c>
      <c r="B364" s="168">
        <v>425</v>
      </c>
      <c r="C364" s="167" t="s">
        <v>16</v>
      </c>
      <c r="D364" s="168">
        <v>84</v>
      </c>
      <c r="E364" s="168" t="s">
        <v>1083</v>
      </c>
    </row>
    <row r="365" spans="1:5" ht="12.75">
      <c r="A365" s="167" t="s">
        <v>42</v>
      </c>
      <c r="B365" s="168">
        <v>425</v>
      </c>
      <c r="C365" s="167" t="s">
        <v>16</v>
      </c>
      <c r="D365" s="168">
        <v>137</v>
      </c>
      <c r="E365" s="168" t="s">
        <v>1083</v>
      </c>
    </row>
    <row r="366" spans="1:5" ht="12.75">
      <c r="A366" s="167" t="s">
        <v>43</v>
      </c>
      <c r="B366" s="168">
        <v>425</v>
      </c>
      <c r="C366" s="167" t="s">
        <v>16</v>
      </c>
      <c r="D366" s="168">
        <v>127</v>
      </c>
      <c r="E366" s="168" t="s">
        <v>1083</v>
      </c>
    </row>
    <row r="367" spans="1:5" ht="12.75">
      <c r="A367" s="167" t="s">
        <v>44</v>
      </c>
      <c r="B367" s="168">
        <v>425</v>
      </c>
      <c r="C367" s="167" t="s">
        <v>16</v>
      </c>
      <c r="D367" s="168">
        <v>140</v>
      </c>
      <c r="E367" s="168" t="s">
        <v>1083</v>
      </c>
    </row>
    <row r="368" spans="1:5" ht="12.75">
      <c r="A368" s="167" t="s">
        <v>45</v>
      </c>
      <c r="B368" s="168">
        <v>425</v>
      </c>
      <c r="C368" s="167" t="s">
        <v>16</v>
      </c>
      <c r="D368" s="168">
        <v>5</v>
      </c>
      <c r="E368" s="168" t="s">
        <v>1083</v>
      </c>
    </row>
    <row r="369" spans="1:5" ht="12.75">
      <c r="A369" s="167" t="s">
        <v>46</v>
      </c>
      <c r="B369" s="168">
        <v>425</v>
      </c>
      <c r="C369" s="167" t="s">
        <v>16</v>
      </c>
      <c r="D369" s="168">
        <v>7</v>
      </c>
      <c r="E369" s="168" t="s">
        <v>1083</v>
      </c>
    </row>
    <row r="370" spans="1:5" ht="12.75">
      <c r="A370" s="167" t="s">
        <v>47</v>
      </c>
      <c r="B370" s="168">
        <v>425</v>
      </c>
      <c r="C370" s="167" t="s">
        <v>16</v>
      </c>
      <c r="D370" s="168">
        <v>8</v>
      </c>
      <c r="E370" s="168" t="s">
        <v>1083</v>
      </c>
    </row>
    <row r="371" spans="1:5" ht="12.75">
      <c r="A371" s="167" t="s">
        <v>48</v>
      </c>
      <c r="B371" s="168">
        <v>425</v>
      </c>
      <c r="C371" s="167" t="s">
        <v>16</v>
      </c>
      <c r="D371" s="168">
        <v>15</v>
      </c>
      <c r="E371" s="168" t="s">
        <v>1083</v>
      </c>
    </row>
    <row r="372" spans="1:5" ht="12.75">
      <c r="A372" s="167" t="s">
        <v>49</v>
      </c>
      <c r="B372" s="168">
        <v>425</v>
      </c>
      <c r="C372" s="167" t="s">
        <v>16</v>
      </c>
      <c r="D372" s="168">
        <v>83</v>
      </c>
      <c r="E372" s="168" t="s">
        <v>1083</v>
      </c>
    </row>
    <row r="373" spans="1:5" ht="12.75">
      <c r="A373" s="167" t="s">
        <v>50</v>
      </c>
      <c r="B373" s="168">
        <v>425</v>
      </c>
      <c r="C373" s="167" t="s">
        <v>16</v>
      </c>
      <c r="D373" s="168">
        <v>138</v>
      </c>
      <c r="E373" s="168" t="s">
        <v>1083</v>
      </c>
    </row>
    <row r="374" spans="1:5" ht="12.75">
      <c r="A374" s="167" t="s">
        <v>51</v>
      </c>
      <c r="B374" s="168">
        <v>425</v>
      </c>
      <c r="C374" s="167" t="s">
        <v>16</v>
      </c>
      <c r="D374" s="168">
        <v>37</v>
      </c>
      <c r="E374" s="168" t="s">
        <v>1083</v>
      </c>
    </row>
    <row r="375" spans="1:5" ht="12.75">
      <c r="A375" s="167" t="s">
        <v>52</v>
      </c>
      <c r="B375" s="168">
        <v>425</v>
      </c>
      <c r="C375" s="167" t="s">
        <v>16</v>
      </c>
      <c r="D375" s="168">
        <v>49</v>
      </c>
      <c r="E375" s="168" t="s">
        <v>1083</v>
      </c>
    </row>
    <row r="376" spans="1:5" ht="12.75">
      <c r="A376" s="167" t="s">
        <v>53</v>
      </c>
      <c r="B376" s="168">
        <v>425</v>
      </c>
      <c r="C376" s="167" t="s">
        <v>16</v>
      </c>
      <c r="D376" s="168">
        <v>56</v>
      </c>
      <c r="E376" s="168" t="s">
        <v>1083</v>
      </c>
    </row>
    <row r="377" spans="1:5" ht="12.75">
      <c r="A377" s="167" t="s">
        <v>54</v>
      </c>
      <c r="B377" s="168">
        <v>425</v>
      </c>
      <c r="C377" s="167" t="s">
        <v>16</v>
      </c>
      <c r="D377" s="168">
        <v>99</v>
      </c>
      <c r="E377" s="168" t="s">
        <v>1083</v>
      </c>
    </row>
    <row r="378" spans="1:5" ht="12.75">
      <c r="A378" s="167" t="s">
        <v>55</v>
      </c>
      <c r="B378" s="168">
        <v>425</v>
      </c>
      <c r="C378" s="167" t="s">
        <v>16</v>
      </c>
      <c r="D378" s="168">
        <v>21</v>
      </c>
      <c r="E378" s="168" t="s">
        <v>1083</v>
      </c>
    </row>
    <row r="379" spans="1:5" ht="12.75">
      <c r="A379" s="167" t="s">
        <v>56</v>
      </c>
      <c r="B379" s="168">
        <v>425</v>
      </c>
      <c r="C379" s="167" t="s">
        <v>16</v>
      </c>
      <c r="D379" s="168">
        <v>115</v>
      </c>
      <c r="E379" s="168">
        <v>1</v>
      </c>
    </row>
    <row r="380" spans="1:5" ht="12.75">
      <c r="A380" s="167" t="s">
        <v>57</v>
      </c>
      <c r="B380" s="168">
        <v>425</v>
      </c>
      <c r="C380" s="167" t="s">
        <v>16</v>
      </c>
      <c r="D380" s="168">
        <v>65</v>
      </c>
      <c r="E380" s="168" t="s">
        <v>1083</v>
      </c>
    </row>
    <row r="381" spans="1:5" ht="12.75">
      <c r="A381" s="167" t="s">
        <v>58</v>
      </c>
      <c r="B381" s="168">
        <v>425</v>
      </c>
      <c r="C381" s="167" t="s">
        <v>16</v>
      </c>
      <c r="D381" s="168">
        <v>36</v>
      </c>
      <c r="E381" s="168" t="s">
        <v>1083</v>
      </c>
    </row>
    <row r="382" spans="1:5" ht="12.75">
      <c r="A382" s="167" t="s">
        <v>59</v>
      </c>
      <c r="B382" s="168">
        <v>425</v>
      </c>
      <c r="C382" s="167" t="s">
        <v>16</v>
      </c>
      <c r="D382" s="168">
        <v>91</v>
      </c>
      <c r="E382" s="168" t="s">
        <v>1083</v>
      </c>
    </row>
    <row r="383" spans="1:5" ht="12.75">
      <c r="A383" s="167" t="s">
        <v>60</v>
      </c>
      <c r="B383" s="168">
        <v>425</v>
      </c>
      <c r="C383" s="167" t="s">
        <v>16</v>
      </c>
      <c r="D383" s="168">
        <v>52</v>
      </c>
      <c r="E383" s="168" t="s">
        <v>1083</v>
      </c>
    </row>
    <row r="384" spans="1:5" ht="12.75">
      <c r="A384" s="167" t="s">
        <v>61</v>
      </c>
      <c r="B384" s="168">
        <v>425</v>
      </c>
      <c r="C384" s="167" t="s">
        <v>16</v>
      </c>
      <c r="D384" s="168">
        <v>31</v>
      </c>
      <c r="E384" s="168" t="s">
        <v>1083</v>
      </c>
    </row>
    <row r="385" spans="1:5" ht="12.75">
      <c r="A385" s="167" t="s">
        <v>62</v>
      </c>
      <c r="B385" s="168">
        <v>425</v>
      </c>
      <c r="C385" s="167" t="s">
        <v>16</v>
      </c>
      <c r="D385" s="168">
        <v>41</v>
      </c>
      <c r="E385" s="168" t="s">
        <v>1083</v>
      </c>
    </row>
    <row r="386" spans="1:5" ht="12.75">
      <c r="A386" s="167" t="s">
        <v>63</v>
      </c>
      <c r="B386" s="168">
        <v>425</v>
      </c>
      <c r="C386" s="167" t="s">
        <v>16</v>
      </c>
      <c r="D386" s="168">
        <v>126</v>
      </c>
      <c r="E386" s="168" t="s">
        <v>1083</v>
      </c>
    </row>
    <row r="387" spans="1:5" ht="12.75">
      <c r="A387" s="167" t="s">
        <v>64</v>
      </c>
      <c r="B387" s="168">
        <v>425</v>
      </c>
      <c r="C387" s="167" t="s">
        <v>16</v>
      </c>
      <c r="D387" s="168">
        <v>97</v>
      </c>
      <c r="E387" s="168" t="s">
        <v>1083</v>
      </c>
    </row>
    <row r="388" spans="1:5" ht="12.75">
      <c r="A388" s="167" t="s">
        <v>65</v>
      </c>
      <c r="B388" s="168">
        <v>425</v>
      </c>
      <c r="C388" s="167" t="s">
        <v>16</v>
      </c>
      <c r="D388" s="168">
        <v>74</v>
      </c>
      <c r="E388" s="168" t="s">
        <v>1083</v>
      </c>
    </row>
    <row r="389" spans="1:5" ht="12.75">
      <c r="A389" s="167" t="s">
        <v>13</v>
      </c>
      <c r="B389" s="168">
        <v>425</v>
      </c>
      <c r="C389" s="167" t="s">
        <v>16</v>
      </c>
      <c r="D389" s="168">
        <v>136</v>
      </c>
      <c r="E389" s="168" t="s">
        <v>1083</v>
      </c>
    </row>
    <row r="390" spans="1:5" ht="12.75">
      <c r="A390" s="167" t="s">
        <v>66</v>
      </c>
      <c r="B390" s="168">
        <v>425</v>
      </c>
      <c r="C390" s="167" t="s">
        <v>16</v>
      </c>
      <c r="D390" s="168">
        <v>6</v>
      </c>
      <c r="E390" s="168" t="s">
        <v>1083</v>
      </c>
    </row>
    <row r="391" spans="1:5" ht="12.75">
      <c r="A391" s="167" t="s">
        <v>67</v>
      </c>
      <c r="B391" s="168">
        <v>425</v>
      </c>
      <c r="C391" s="167" t="s">
        <v>16</v>
      </c>
      <c r="D391" s="168">
        <v>133</v>
      </c>
      <c r="E391" s="168">
        <v>9</v>
      </c>
    </row>
    <row r="392" spans="1:5" ht="12.75">
      <c r="A392" s="167" t="s">
        <v>68</v>
      </c>
      <c r="B392" s="168">
        <v>425</v>
      </c>
      <c r="C392" s="167" t="s">
        <v>16</v>
      </c>
      <c r="D392" s="168">
        <v>130</v>
      </c>
      <c r="E392" s="168">
        <v>7</v>
      </c>
    </row>
    <row r="393" spans="1:5" ht="12.75">
      <c r="A393" s="167" t="s">
        <v>69</v>
      </c>
      <c r="B393" s="168">
        <v>425</v>
      </c>
      <c r="C393" s="167" t="s">
        <v>16</v>
      </c>
      <c r="D393" s="168">
        <v>1</v>
      </c>
      <c r="E393" s="168" t="s">
        <v>1083</v>
      </c>
    </row>
    <row r="394" spans="1:5" ht="12.75">
      <c r="A394" s="167" t="s">
        <v>70</v>
      </c>
      <c r="B394" s="168">
        <v>425</v>
      </c>
      <c r="C394" s="167" t="s">
        <v>16</v>
      </c>
      <c r="D394" s="168">
        <v>123</v>
      </c>
      <c r="E394" s="168" t="s">
        <v>1083</v>
      </c>
    </row>
    <row r="395" spans="1:5" ht="12.75">
      <c r="A395" s="167" t="s">
        <v>71</v>
      </c>
      <c r="B395" s="168">
        <v>425</v>
      </c>
      <c r="C395" s="167" t="s">
        <v>16</v>
      </c>
      <c r="D395" s="168">
        <v>38</v>
      </c>
      <c r="E395" s="168">
        <v>2</v>
      </c>
    </row>
    <row r="396" spans="1:5" ht="12.75">
      <c r="A396" s="167" t="s">
        <v>72</v>
      </c>
      <c r="B396" s="168">
        <v>425</v>
      </c>
      <c r="C396" s="167" t="s">
        <v>16</v>
      </c>
      <c r="D396" s="168">
        <v>39</v>
      </c>
      <c r="E396" s="168">
        <v>6</v>
      </c>
    </row>
    <row r="397" spans="1:5" ht="12.75">
      <c r="A397" s="167" t="s">
        <v>73</v>
      </c>
      <c r="B397" s="168">
        <v>425</v>
      </c>
      <c r="C397" s="167" t="s">
        <v>16</v>
      </c>
      <c r="D397" s="168">
        <v>101</v>
      </c>
      <c r="E397" s="168" t="s">
        <v>1083</v>
      </c>
    </row>
    <row r="398" spans="1:5" ht="12.75">
      <c r="A398" s="167" t="s">
        <v>74</v>
      </c>
      <c r="B398" s="168">
        <v>425</v>
      </c>
      <c r="C398" s="167" t="s">
        <v>16</v>
      </c>
      <c r="D398" s="168">
        <v>98</v>
      </c>
      <c r="E398" s="168" t="s">
        <v>1083</v>
      </c>
    </row>
    <row r="399" spans="1:5" ht="12.75">
      <c r="A399" s="167" t="s">
        <v>75</v>
      </c>
      <c r="B399" s="168">
        <v>425</v>
      </c>
      <c r="C399" s="167" t="s">
        <v>16</v>
      </c>
      <c r="D399" s="168">
        <v>18</v>
      </c>
      <c r="E399" s="168" t="s">
        <v>1083</v>
      </c>
    </row>
    <row r="400" spans="1:5" ht="12.75">
      <c r="A400" s="167" t="s">
        <v>76</v>
      </c>
      <c r="B400" s="168">
        <v>425</v>
      </c>
      <c r="C400" s="167" t="s">
        <v>16</v>
      </c>
      <c r="D400" s="168">
        <v>48</v>
      </c>
      <c r="E400" s="168" t="s">
        <v>1083</v>
      </c>
    </row>
    <row r="401" spans="1:5" ht="12.75">
      <c r="A401" s="167" t="s">
        <v>77</v>
      </c>
      <c r="B401" s="168">
        <v>425</v>
      </c>
      <c r="C401" s="167" t="s">
        <v>16</v>
      </c>
      <c r="D401" s="168">
        <v>69</v>
      </c>
      <c r="E401" s="168" t="s">
        <v>1083</v>
      </c>
    </row>
    <row r="402" spans="1:5" ht="12.75">
      <c r="A402" s="167" t="s">
        <v>78</v>
      </c>
      <c r="B402" s="168">
        <v>431</v>
      </c>
      <c r="C402" s="167" t="s">
        <v>79</v>
      </c>
      <c r="D402" s="168">
        <v>24</v>
      </c>
      <c r="E402" s="168">
        <v>1</v>
      </c>
    </row>
    <row r="403" spans="1:5" ht="12.75">
      <c r="A403" s="167" t="s">
        <v>80</v>
      </c>
      <c r="B403" s="168">
        <v>431</v>
      </c>
      <c r="C403" s="167" t="s">
        <v>79</v>
      </c>
      <c r="D403" s="168">
        <v>2</v>
      </c>
      <c r="E403" s="168">
        <v>2</v>
      </c>
    </row>
    <row r="404" spans="1:5" ht="12.75">
      <c r="A404" s="167" t="s">
        <v>81</v>
      </c>
      <c r="B404" s="168">
        <v>431</v>
      </c>
      <c r="C404" s="167" t="s">
        <v>79</v>
      </c>
      <c r="D404" s="168">
        <v>62</v>
      </c>
      <c r="E404" s="168" t="s">
        <v>1083</v>
      </c>
    </row>
    <row r="405" spans="1:5" ht="12.75">
      <c r="A405" s="167" t="s">
        <v>82</v>
      </c>
      <c r="B405" s="168">
        <v>431</v>
      </c>
      <c r="C405" s="167" t="s">
        <v>79</v>
      </c>
      <c r="D405" s="168">
        <v>54</v>
      </c>
      <c r="E405" s="168" t="s">
        <v>1083</v>
      </c>
    </row>
    <row r="406" spans="1:5" ht="12.75">
      <c r="A406" s="167" t="s">
        <v>83</v>
      </c>
      <c r="B406" s="168">
        <v>431</v>
      </c>
      <c r="C406" s="167" t="s">
        <v>79</v>
      </c>
      <c r="D406" s="168">
        <v>29</v>
      </c>
      <c r="E406" s="168">
        <v>19</v>
      </c>
    </row>
    <row r="407" spans="1:5" ht="12.75">
      <c r="A407" s="167" t="s">
        <v>84</v>
      </c>
      <c r="B407" s="168">
        <v>431</v>
      </c>
      <c r="C407" s="167" t="s">
        <v>79</v>
      </c>
      <c r="D407" s="168">
        <v>63</v>
      </c>
      <c r="E407" s="168">
        <v>11</v>
      </c>
    </row>
    <row r="408" spans="1:5" ht="12.75">
      <c r="A408" s="167" t="s">
        <v>85</v>
      </c>
      <c r="B408" s="168">
        <v>431</v>
      </c>
      <c r="C408" s="167" t="s">
        <v>79</v>
      </c>
      <c r="D408" s="168">
        <v>28</v>
      </c>
      <c r="E408" s="168">
        <v>6</v>
      </c>
    </row>
    <row r="409" spans="1:5" ht="12.75">
      <c r="A409" s="167" t="s">
        <v>86</v>
      </c>
      <c r="B409" s="168">
        <v>431</v>
      </c>
      <c r="C409" s="167" t="s">
        <v>79</v>
      </c>
      <c r="D409" s="168">
        <v>64</v>
      </c>
      <c r="E409" s="168">
        <v>9</v>
      </c>
    </row>
    <row r="410" spans="1:5" ht="12.75">
      <c r="A410" s="167" t="s">
        <v>87</v>
      </c>
      <c r="B410" s="168">
        <v>431</v>
      </c>
      <c r="C410" s="167" t="s">
        <v>79</v>
      </c>
      <c r="D410" s="168">
        <v>61</v>
      </c>
      <c r="E410" s="168" t="s">
        <v>1083</v>
      </c>
    </row>
    <row r="411" spans="1:5" ht="12.75">
      <c r="A411" s="167" t="s">
        <v>88</v>
      </c>
      <c r="B411" s="168">
        <v>431</v>
      </c>
      <c r="C411" s="167" t="s">
        <v>79</v>
      </c>
      <c r="D411" s="168">
        <v>6</v>
      </c>
      <c r="E411" s="168">
        <v>16</v>
      </c>
    </row>
    <row r="412" spans="1:5" ht="12.75">
      <c r="A412" s="167" t="s">
        <v>89</v>
      </c>
      <c r="B412" s="168">
        <v>431</v>
      </c>
      <c r="C412" s="167" t="s">
        <v>79</v>
      </c>
      <c r="D412" s="168">
        <v>5</v>
      </c>
      <c r="E412" s="168">
        <v>3</v>
      </c>
    </row>
    <row r="413" spans="1:5" ht="12.75">
      <c r="A413" s="167" t="s">
        <v>90</v>
      </c>
      <c r="B413" s="168">
        <v>431</v>
      </c>
      <c r="C413" s="167" t="s">
        <v>79</v>
      </c>
      <c r="D413" s="168">
        <v>65</v>
      </c>
      <c r="E413" s="168">
        <v>18</v>
      </c>
    </row>
    <row r="414" spans="1:5" ht="12.75">
      <c r="A414" s="167" t="s">
        <v>91</v>
      </c>
      <c r="B414" s="168">
        <v>431</v>
      </c>
      <c r="C414" s="167" t="s">
        <v>79</v>
      </c>
      <c r="D414" s="168">
        <v>32</v>
      </c>
      <c r="E414" s="168">
        <v>4</v>
      </c>
    </row>
    <row r="415" spans="1:5" ht="12.75">
      <c r="A415" s="167" t="s">
        <v>92</v>
      </c>
      <c r="B415" s="168">
        <v>431</v>
      </c>
      <c r="C415" s="167" t="s">
        <v>79</v>
      </c>
      <c r="D415" s="168">
        <v>66</v>
      </c>
      <c r="E415" s="168">
        <v>10</v>
      </c>
    </row>
    <row r="416" spans="1:5" ht="12.75">
      <c r="A416" s="167" t="s">
        <v>93</v>
      </c>
      <c r="B416" s="168">
        <v>431</v>
      </c>
      <c r="C416" s="167" t="s">
        <v>79</v>
      </c>
      <c r="D416" s="168">
        <v>13</v>
      </c>
      <c r="E416" s="168">
        <v>14</v>
      </c>
    </row>
    <row r="417" spans="1:5" ht="12.75">
      <c r="A417" s="167" t="s">
        <v>94</v>
      </c>
      <c r="B417" s="168">
        <v>431</v>
      </c>
      <c r="C417" s="167" t="s">
        <v>79</v>
      </c>
      <c r="D417" s="168">
        <v>67</v>
      </c>
      <c r="E417" s="168" t="s">
        <v>1083</v>
      </c>
    </row>
    <row r="418" spans="1:5" ht="12.75">
      <c r="A418" s="167" t="s">
        <v>95</v>
      </c>
      <c r="B418" s="168">
        <v>431</v>
      </c>
      <c r="C418" s="167" t="s">
        <v>79</v>
      </c>
      <c r="D418" s="168">
        <v>8</v>
      </c>
      <c r="E418" s="168">
        <v>12</v>
      </c>
    </row>
    <row r="419" spans="1:5" ht="12.75">
      <c r="A419" s="167" t="s">
        <v>96</v>
      </c>
      <c r="B419" s="168">
        <v>431</v>
      </c>
      <c r="C419" s="167" t="s">
        <v>79</v>
      </c>
      <c r="D419" s="168">
        <v>68</v>
      </c>
      <c r="E419" s="168">
        <v>8</v>
      </c>
    </row>
    <row r="420" spans="1:5" ht="12.75">
      <c r="A420" s="167" t="s">
        <v>97</v>
      </c>
      <c r="B420" s="168">
        <v>431</v>
      </c>
      <c r="C420" s="167" t="s">
        <v>79</v>
      </c>
      <c r="D420" s="168">
        <v>7</v>
      </c>
      <c r="E420" s="168">
        <v>17</v>
      </c>
    </row>
    <row r="421" spans="1:5" ht="12.75">
      <c r="A421" s="167" t="s">
        <v>98</v>
      </c>
      <c r="B421" s="168">
        <v>431</v>
      </c>
      <c r="C421" s="167" t="s">
        <v>79</v>
      </c>
      <c r="D421" s="168">
        <v>3</v>
      </c>
      <c r="E421" s="168">
        <v>5</v>
      </c>
    </row>
    <row r="422" spans="1:5" ht="12.75">
      <c r="A422" s="167" t="s">
        <v>99</v>
      </c>
      <c r="B422" s="168">
        <v>431</v>
      </c>
      <c r="C422" s="167" t="s">
        <v>79</v>
      </c>
      <c r="D422" s="168">
        <v>20</v>
      </c>
      <c r="E422" s="168" t="s">
        <v>1083</v>
      </c>
    </row>
    <row r="423" spans="1:5" ht="12.75">
      <c r="A423" s="167" t="s">
        <v>100</v>
      </c>
      <c r="B423" s="168">
        <v>431</v>
      </c>
      <c r="C423" s="167" t="s">
        <v>79</v>
      </c>
      <c r="D423" s="168">
        <v>17</v>
      </c>
      <c r="E423" s="168">
        <v>7</v>
      </c>
    </row>
    <row r="424" spans="1:5" ht="12.75">
      <c r="A424" s="167" t="s">
        <v>101</v>
      </c>
      <c r="B424" s="168">
        <v>431</v>
      </c>
      <c r="C424" s="167" t="s">
        <v>79</v>
      </c>
      <c r="D424" s="168">
        <v>40</v>
      </c>
      <c r="E424" s="168" t="s">
        <v>1083</v>
      </c>
    </row>
    <row r="425" spans="1:5" ht="12.75">
      <c r="A425" s="167" t="s">
        <v>102</v>
      </c>
      <c r="B425" s="168">
        <v>431</v>
      </c>
      <c r="C425" s="167" t="s">
        <v>79</v>
      </c>
      <c r="D425" s="168">
        <v>10</v>
      </c>
      <c r="E425" s="168">
        <v>15</v>
      </c>
    </row>
    <row r="426" spans="1:5" ht="12.75">
      <c r="A426" s="167" t="s">
        <v>103</v>
      </c>
      <c r="B426" s="168">
        <v>431</v>
      </c>
      <c r="C426" s="167" t="s">
        <v>79</v>
      </c>
      <c r="D426" s="168">
        <v>59</v>
      </c>
      <c r="E426" s="168">
        <v>13</v>
      </c>
    </row>
    <row r="427" spans="1:5" ht="12.75">
      <c r="A427" s="167" t="s">
        <v>104</v>
      </c>
      <c r="B427" s="168">
        <v>441</v>
      </c>
      <c r="C427" s="167" t="s">
        <v>105</v>
      </c>
      <c r="D427" s="168">
        <v>51</v>
      </c>
      <c r="E427" s="168">
        <v>19</v>
      </c>
    </row>
    <row r="428" spans="1:5" ht="12.75">
      <c r="A428" s="167" t="s">
        <v>106</v>
      </c>
      <c r="B428" s="168">
        <v>441</v>
      </c>
      <c r="C428" s="167" t="s">
        <v>105</v>
      </c>
      <c r="D428" s="168">
        <v>52</v>
      </c>
      <c r="E428" s="168">
        <v>16</v>
      </c>
    </row>
    <row r="429" spans="1:5" ht="12.75">
      <c r="A429" s="167" t="s">
        <v>107</v>
      </c>
      <c r="B429" s="168">
        <v>441</v>
      </c>
      <c r="C429" s="167" t="s">
        <v>105</v>
      </c>
      <c r="D429" s="168">
        <v>37</v>
      </c>
      <c r="E429" s="168">
        <v>12</v>
      </c>
    </row>
    <row r="430" spans="1:5" ht="12.75">
      <c r="A430" s="167" t="s">
        <v>1832</v>
      </c>
      <c r="B430" s="168">
        <v>441</v>
      </c>
      <c r="C430" s="167" t="s">
        <v>105</v>
      </c>
      <c r="D430" s="168">
        <v>40</v>
      </c>
      <c r="E430" s="168">
        <v>5</v>
      </c>
    </row>
    <row r="431" spans="1:5" ht="12.75">
      <c r="A431" s="167" t="s">
        <v>108</v>
      </c>
      <c r="B431" s="168">
        <v>441</v>
      </c>
      <c r="C431" s="167" t="s">
        <v>105</v>
      </c>
      <c r="D431" s="168">
        <v>48</v>
      </c>
      <c r="E431" s="168">
        <v>8</v>
      </c>
    </row>
    <row r="432" spans="1:5" ht="12.75">
      <c r="A432" s="167" t="s">
        <v>109</v>
      </c>
      <c r="B432" s="168">
        <v>441</v>
      </c>
      <c r="C432" s="167" t="s">
        <v>105</v>
      </c>
      <c r="D432" s="168">
        <v>36</v>
      </c>
      <c r="E432" s="168">
        <v>10</v>
      </c>
    </row>
    <row r="433" spans="1:5" ht="12.75">
      <c r="A433" s="167" t="s">
        <v>87</v>
      </c>
      <c r="B433" s="168">
        <v>441</v>
      </c>
      <c r="C433" s="167" t="s">
        <v>105</v>
      </c>
      <c r="D433" s="168">
        <v>53</v>
      </c>
      <c r="E433" s="168">
        <v>2</v>
      </c>
    </row>
    <row r="434" spans="1:5" ht="12.75">
      <c r="A434" s="167" t="s">
        <v>1613</v>
      </c>
      <c r="B434" s="168">
        <v>441</v>
      </c>
      <c r="C434" s="167" t="s">
        <v>105</v>
      </c>
      <c r="D434" s="168">
        <v>54</v>
      </c>
      <c r="E434" s="168" t="s">
        <v>1083</v>
      </c>
    </row>
    <row r="435" spans="1:5" ht="12.75">
      <c r="A435" s="167" t="s">
        <v>1895</v>
      </c>
      <c r="B435" s="168">
        <v>441</v>
      </c>
      <c r="C435" s="167" t="s">
        <v>105</v>
      </c>
      <c r="D435" s="168">
        <v>49</v>
      </c>
      <c r="E435" s="168" t="s">
        <v>1083</v>
      </c>
    </row>
    <row r="436" spans="1:5" ht="12.75">
      <c r="A436" s="167" t="s">
        <v>110</v>
      </c>
      <c r="B436" s="168">
        <v>441</v>
      </c>
      <c r="C436" s="167" t="s">
        <v>105</v>
      </c>
      <c r="D436" s="168">
        <v>1</v>
      </c>
      <c r="E436" s="168">
        <v>3</v>
      </c>
    </row>
    <row r="437" spans="1:5" ht="12.75">
      <c r="A437" s="167" t="s">
        <v>111</v>
      </c>
      <c r="B437" s="168">
        <v>441</v>
      </c>
      <c r="C437" s="167" t="s">
        <v>105</v>
      </c>
      <c r="D437" s="168">
        <v>16</v>
      </c>
      <c r="E437" s="168">
        <v>14</v>
      </c>
    </row>
    <row r="438" spans="1:5" ht="12.75">
      <c r="A438" s="167" t="s">
        <v>2</v>
      </c>
      <c r="B438" s="168">
        <v>441</v>
      </c>
      <c r="C438" s="167" t="s">
        <v>105</v>
      </c>
      <c r="D438" s="168">
        <v>50</v>
      </c>
      <c r="E438" s="168">
        <v>4</v>
      </c>
    </row>
    <row r="439" spans="1:5" ht="12.75">
      <c r="A439" s="167" t="s">
        <v>112</v>
      </c>
      <c r="B439" s="168">
        <v>441</v>
      </c>
      <c r="C439" s="167" t="s">
        <v>105</v>
      </c>
      <c r="D439" s="168">
        <v>43</v>
      </c>
      <c r="E439" s="168" t="s">
        <v>1083</v>
      </c>
    </row>
    <row r="440" spans="1:5" ht="12.75">
      <c r="A440" s="167" t="s">
        <v>113</v>
      </c>
      <c r="B440" s="168">
        <v>441</v>
      </c>
      <c r="C440" s="167" t="s">
        <v>105</v>
      </c>
      <c r="D440" s="168">
        <v>24</v>
      </c>
      <c r="E440" s="168">
        <v>6</v>
      </c>
    </row>
    <row r="441" spans="1:5" ht="12.75">
      <c r="A441" s="167" t="s">
        <v>114</v>
      </c>
      <c r="B441" s="168">
        <v>441</v>
      </c>
      <c r="C441" s="167" t="s">
        <v>105</v>
      </c>
      <c r="D441" s="168">
        <v>44</v>
      </c>
      <c r="E441" s="168">
        <v>11</v>
      </c>
    </row>
    <row r="442" spans="1:5" ht="12.75">
      <c r="A442" s="167" t="s">
        <v>115</v>
      </c>
      <c r="B442" s="168">
        <v>441</v>
      </c>
      <c r="C442" s="167" t="s">
        <v>105</v>
      </c>
      <c r="D442" s="168">
        <v>55</v>
      </c>
      <c r="E442" s="168">
        <v>17</v>
      </c>
    </row>
    <row r="443" spans="1:5" ht="12.75">
      <c r="A443" s="167" t="s">
        <v>116</v>
      </c>
      <c r="B443" s="168">
        <v>441</v>
      </c>
      <c r="C443" s="167" t="s">
        <v>105</v>
      </c>
      <c r="D443" s="168">
        <v>45</v>
      </c>
      <c r="E443" s="168">
        <v>15</v>
      </c>
    </row>
    <row r="444" spans="1:5" ht="12.75">
      <c r="A444" s="167" t="s">
        <v>117</v>
      </c>
      <c r="B444" s="168">
        <v>441</v>
      </c>
      <c r="C444" s="167" t="s">
        <v>105</v>
      </c>
      <c r="D444" s="168">
        <v>56</v>
      </c>
      <c r="E444" s="168">
        <v>18</v>
      </c>
    </row>
    <row r="445" spans="1:5" ht="12.75">
      <c r="A445" s="167" t="s">
        <v>118</v>
      </c>
      <c r="B445" s="168">
        <v>441</v>
      </c>
      <c r="C445" s="167" t="s">
        <v>105</v>
      </c>
      <c r="D445" s="168">
        <v>38</v>
      </c>
      <c r="E445" s="168">
        <v>13</v>
      </c>
    </row>
    <row r="446" spans="1:5" ht="12.75">
      <c r="A446" s="167" t="s">
        <v>119</v>
      </c>
      <c r="B446" s="168">
        <v>441</v>
      </c>
      <c r="C446" s="167" t="s">
        <v>105</v>
      </c>
      <c r="D446" s="168">
        <v>57</v>
      </c>
      <c r="E446" s="168">
        <v>1</v>
      </c>
    </row>
    <row r="447" spans="1:5" ht="12.75">
      <c r="A447" s="167" t="s">
        <v>120</v>
      </c>
      <c r="B447" s="168">
        <v>441</v>
      </c>
      <c r="C447" s="167" t="s">
        <v>105</v>
      </c>
      <c r="D447" s="168">
        <v>10</v>
      </c>
      <c r="E447" s="168">
        <v>9</v>
      </c>
    </row>
    <row r="448" spans="1:5" ht="12.75">
      <c r="A448" s="167" t="s">
        <v>121</v>
      </c>
      <c r="B448" s="168">
        <v>441</v>
      </c>
      <c r="C448" s="167" t="s">
        <v>105</v>
      </c>
      <c r="D448" s="168">
        <v>11</v>
      </c>
      <c r="E448" s="168">
        <v>7</v>
      </c>
    </row>
    <row r="449" spans="1:5" ht="12.75">
      <c r="A449" s="167" t="s">
        <v>122</v>
      </c>
      <c r="B449" s="168">
        <v>459</v>
      </c>
      <c r="C449" s="167" t="s">
        <v>123</v>
      </c>
      <c r="D449" s="168">
        <v>2</v>
      </c>
      <c r="E449" s="168" t="s">
        <v>1083</v>
      </c>
    </row>
    <row r="450" spans="1:5" ht="12.75">
      <c r="A450" s="167" t="s">
        <v>124</v>
      </c>
      <c r="B450" s="168">
        <v>459</v>
      </c>
      <c r="C450" s="167" t="s">
        <v>123</v>
      </c>
      <c r="D450" s="168">
        <v>3</v>
      </c>
      <c r="E450" s="168">
        <v>4</v>
      </c>
    </row>
    <row r="451" spans="1:5" ht="12.75">
      <c r="A451" s="167" t="s">
        <v>125</v>
      </c>
      <c r="B451" s="168">
        <v>459</v>
      </c>
      <c r="C451" s="167" t="s">
        <v>123</v>
      </c>
      <c r="D451" s="168">
        <v>4</v>
      </c>
      <c r="E451" s="168">
        <v>6</v>
      </c>
    </row>
    <row r="452" spans="1:5" ht="12.75">
      <c r="A452" s="167" t="s">
        <v>126</v>
      </c>
      <c r="B452" s="168">
        <v>459</v>
      </c>
      <c r="C452" s="167" t="s">
        <v>123</v>
      </c>
      <c r="D452" s="168">
        <v>5</v>
      </c>
      <c r="E452" s="168">
        <v>7</v>
      </c>
    </row>
    <row r="453" spans="1:5" ht="12.75">
      <c r="A453" s="167" t="s">
        <v>127</v>
      </c>
      <c r="B453" s="168">
        <v>459</v>
      </c>
      <c r="C453" s="167" t="s">
        <v>123</v>
      </c>
      <c r="D453" s="168">
        <v>6</v>
      </c>
      <c r="E453" s="168">
        <v>11</v>
      </c>
    </row>
    <row r="454" spans="1:5" ht="12.75">
      <c r="A454" s="167" t="s">
        <v>128</v>
      </c>
      <c r="B454" s="168">
        <v>459</v>
      </c>
      <c r="C454" s="167" t="s">
        <v>123</v>
      </c>
      <c r="D454" s="168">
        <v>7</v>
      </c>
      <c r="E454" s="168">
        <v>1</v>
      </c>
    </row>
    <row r="455" spans="1:5" ht="12.75">
      <c r="A455" s="167" t="s">
        <v>129</v>
      </c>
      <c r="B455" s="168">
        <v>459</v>
      </c>
      <c r="C455" s="167" t="s">
        <v>123</v>
      </c>
      <c r="D455" s="168">
        <v>8</v>
      </c>
      <c r="E455" s="168">
        <v>3</v>
      </c>
    </row>
    <row r="456" spans="1:5" ht="12.75">
      <c r="A456" s="167" t="s">
        <v>130</v>
      </c>
      <c r="B456" s="168">
        <v>459</v>
      </c>
      <c r="C456" s="167" t="s">
        <v>123</v>
      </c>
      <c r="D456" s="168">
        <v>9</v>
      </c>
      <c r="E456" s="168">
        <v>2</v>
      </c>
    </row>
    <row r="457" spans="1:5" ht="12.75">
      <c r="A457" s="167" t="s">
        <v>131</v>
      </c>
      <c r="B457" s="168">
        <v>459</v>
      </c>
      <c r="C457" s="167" t="s">
        <v>123</v>
      </c>
      <c r="D457" s="168">
        <v>10</v>
      </c>
      <c r="E457" s="168">
        <v>12</v>
      </c>
    </row>
    <row r="458" spans="1:5" ht="12.75">
      <c r="A458" s="167" t="s">
        <v>132</v>
      </c>
      <c r="B458" s="168">
        <v>459</v>
      </c>
      <c r="C458" s="167" t="s">
        <v>123</v>
      </c>
      <c r="D458" s="168">
        <v>11</v>
      </c>
      <c r="E458" s="168" t="s">
        <v>1083</v>
      </c>
    </row>
    <row r="459" spans="1:5" ht="12.75">
      <c r="A459" s="167" t="s">
        <v>133</v>
      </c>
      <c r="B459" s="168">
        <v>459</v>
      </c>
      <c r="C459" s="167" t="s">
        <v>123</v>
      </c>
      <c r="D459" s="168">
        <v>12</v>
      </c>
      <c r="E459" s="168">
        <v>5</v>
      </c>
    </row>
    <row r="460" spans="1:5" ht="12.75">
      <c r="A460" s="167" t="s">
        <v>134</v>
      </c>
      <c r="B460" s="168">
        <v>459</v>
      </c>
      <c r="C460" s="167" t="s">
        <v>123</v>
      </c>
      <c r="D460" s="168">
        <v>13</v>
      </c>
      <c r="E460" s="168">
        <v>8</v>
      </c>
    </row>
    <row r="461" spans="1:5" ht="12.75">
      <c r="A461" s="167" t="s">
        <v>135</v>
      </c>
      <c r="B461" s="168">
        <v>459</v>
      </c>
      <c r="C461" s="167" t="s">
        <v>123</v>
      </c>
      <c r="D461" s="168">
        <v>14</v>
      </c>
      <c r="E461" s="168">
        <v>10</v>
      </c>
    </row>
    <row r="462" spans="1:5" ht="12.75">
      <c r="A462" s="167" t="s">
        <v>136</v>
      </c>
      <c r="B462" s="168">
        <v>459</v>
      </c>
      <c r="C462" s="167" t="s">
        <v>123</v>
      </c>
      <c r="D462" s="168">
        <v>1</v>
      </c>
      <c r="E462" s="168">
        <v>13</v>
      </c>
    </row>
    <row r="463" spans="1:5" ht="12.75">
      <c r="A463" s="167" t="s">
        <v>137</v>
      </c>
      <c r="B463" s="168">
        <v>459</v>
      </c>
      <c r="C463" s="167" t="s">
        <v>123</v>
      </c>
      <c r="D463" s="168">
        <v>15</v>
      </c>
      <c r="E463" s="168">
        <v>9</v>
      </c>
    </row>
    <row r="464" spans="1:5" ht="12.75">
      <c r="A464" s="167" t="s">
        <v>138</v>
      </c>
      <c r="B464" s="168">
        <v>461</v>
      </c>
      <c r="C464" s="167" t="s">
        <v>139</v>
      </c>
      <c r="D464" s="168">
        <v>1</v>
      </c>
      <c r="E464" s="168">
        <v>7</v>
      </c>
    </row>
    <row r="465" spans="1:5" ht="12.75">
      <c r="A465" s="167" t="s">
        <v>140</v>
      </c>
      <c r="B465" s="168">
        <v>461</v>
      </c>
      <c r="C465" s="167" t="s">
        <v>139</v>
      </c>
      <c r="D465" s="168">
        <v>2</v>
      </c>
      <c r="E465" s="168">
        <v>8</v>
      </c>
    </row>
    <row r="466" spans="1:5" ht="12.75">
      <c r="A466" s="167" t="s">
        <v>141</v>
      </c>
      <c r="B466" s="168">
        <v>461</v>
      </c>
      <c r="C466" s="167" t="s">
        <v>139</v>
      </c>
      <c r="D466" s="168">
        <v>3</v>
      </c>
      <c r="E466" s="168">
        <v>9</v>
      </c>
    </row>
    <row r="467" spans="1:5" ht="12.75">
      <c r="A467" s="167" t="s">
        <v>1893</v>
      </c>
      <c r="B467" s="168">
        <v>461</v>
      </c>
      <c r="C467" s="167" t="s">
        <v>139</v>
      </c>
      <c r="D467" s="168">
        <v>4</v>
      </c>
      <c r="E467" s="168">
        <v>10</v>
      </c>
    </row>
    <row r="468" spans="1:5" ht="12.75">
      <c r="A468" s="167" t="s">
        <v>142</v>
      </c>
      <c r="B468" s="168">
        <v>461</v>
      </c>
      <c r="C468" s="167" t="s">
        <v>139</v>
      </c>
      <c r="D468" s="168">
        <v>6</v>
      </c>
      <c r="E468" s="168">
        <v>12</v>
      </c>
    </row>
    <row r="469" spans="1:5" ht="12.75">
      <c r="A469" s="167" t="s">
        <v>143</v>
      </c>
      <c r="B469" s="168">
        <v>461</v>
      </c>
      <c r="C469" s="167" t="s">
        <v>139</v>
      </c>
      <c r="D469" s="168">
        <v>7</v>
      </c>
      <c r="E469" s="168">
        <v>13</v>
      </c>
    </row>
    <row r="470" spans="1:5" ht="12.75">
      <c r="A470" s="167" t="s">
        <v>144</v>
      </c>
      <c r="B470" s="168">
        <v>461</v>
      </c>
      <c r="C470" s="167" t="s">
        <v>139</v>
      </c>
      <c r="D470" s="168">
        <v>5</v>
      </c>
      <c r="E470" s="168">
        <v>11</v>
      </c>
    </row>
    <row r="471" spans="1:5" ht="12.75">
      <c r="A471" s="167" t="s">
        <v>145</v>
      </c>
      <c r="B471" s="168">
        <v>461</v>
      </c>
      <c r="C471" s="167" t="s">
        <v>139</v>
      </c>
      <c r="D471" s="168">
        <v>8</v>
      </c>
      <c r="E471" s="168">
        <v>5</v>
      </c>
    </row>
    <row r="472" spans="1:5" ht="12.75">
      <c r="A472" s="167" t="s">
        <v>146</v>
      </c>
      <c r="B472" s="168">
        <v>461</v>
      </c>
      <c r="C472" s="167" t="s">
        <v>139</v>
      </c>
      <c r="D472" s="168">
        <v>9</v>
      </c>
      <c r="E472" s="168">
        <v>14</v>
      </c>
    </row>
    <row r="473" spans="1:5" ht="12.75">
      <c r="A473" s="167" t="s">
        <v>147</v>
      </c>
      <c r="B473" s="168">
        <v>461</v>
      </c>
      <c r="C473" s="167" t="s">
        <v>139</v>
      </c>
      <c r="D473" s="168">
        <v>10</v>
      </c>
      <c r="E473" s="168">
        <v>15</v>
      </c>
    </row>
    <row r="474" spans="1:5" ht="12.75">
      <c r="A474" s="167" t="s">
        <v>148</v>
      </c>
      <c r="B474" s="168">
        <v>461</v>
      </c>
      <c r="C474" s="167" t="s">
        <v>139</v>
      </c>
      <c r="D474" s="168">
        <v>11</v>
      </c>
      <c r="E474" s="168">
        <v>16</v>
      </c>
    </row>
    <row r="475" spans="1:5" ht="12.75">
      <c r="A475" s="167" t="s">
        <v>149</v>
      </c>
      <c r="B475" s="168">
        <v>461</v>
      </c>
      <c r="C475" s="167" t="s">
        <v>139</v>
      </c>
      <c r="D475" s="168">
        <v>12</v>
      </c>
      <c r="E475" s="168">
        <v>17</v>
      </c>
    </row>
    <row r="476" spans="1:5" ht="12.75">
      <c r="A476" s="167" t="s">
        <v>150</v>
      </c>
      <c r="B476" s="168">
        <v>461</v>
      </c>
      <c r="C476" s="167" t="s">
        <v>139</v>
      </c>
      <c r="D476" s="168">
        <v>13</v>
      </c>
      <c r="E476" s="168">
        <v>18</v>
      </c>
    </row>
    <row r="477" spans="1:5" ht="12.75">
      <c r="A477" s="167" t="s">
        <v>151</v>
      </c>
      <c r="B477" s="168">
        <v>461</v>
      </c>
      <c r="C477" s="167" t="s">
        <v>139</v>
      </c>
      <c r="D477" s="168">
        <v>14</v>
      </c>
      <c r="E477" s="168">
        <v>4</v>
      </c>
    </row>
    <row r="478" spans="1:5" ht="12.75">
      <c r="A478" s="167" t="s">
        <v>152</v>
      </c>
      <c r="B478" s="168">
        <v>461</v>
      </c>
      <c r="C478" s="167" t="s">
        <v>139</v>
      </c>
      <c r="D478" s="168">
        <v>15</v>
      </c>
      <c r="E478" s="168">
        <v>19</v>
      </c>
    </row>
    <row r="479" spans="1:5" ht="12.75">
      <c r="A479" s="167" t="s">
        <v>153</v>
      </c>
      <c r="B479" s="168">
        <v>461</v>
      </c>
      <c r="C479" s="167" t="s">
        <v>139</v>
      </c>
      <c r="D479" s="168">
        <v>16</v>
      </c>
      <c r="E479" s="168">
        <v>20</v>
      </c>
    </row>
    <row r="480" spans="1:5" ht="12.75">
      <c r="A480" s="167" t="s">
        <v>97</v>
      </c>
      <c r="B480" s="168">
        <v>461</v>
      </c>
      <c r="C480" s="167" t="s">
        <v>139</v>
      </c>
      <c r="D480" s="168">
        <v>17</v>
      </c>
      <c r="E480" s="168">
        <v>21</v>
      </c>
    </row>
    <row r="481" spans="1:5" ht="12.75">
      <c r="A481" s="167" t="s">
        <v>154</v>
      </c>
      <c r="B481" s="168">
        <v>461</v>
      </c>
      <c r="C481" s="167" t="s">
        <v>139</v>
      </c>
      <c r="D481" s="168">
        <v>18</v>
      </c>
      <c r="E481" s="168">
        <v>2</v>
      </c>
    </row>
    <row r="482" spans="1:5" ht="12.75">
      <c r="A482" s="167" t="s">
        <v>155</v>
      </c>
      <c r="B482" s="168">
        <v>461</v>
      </c>
      <c r="C482" s="167" t="s">
        <v>139</v>
      </c>
      <c r="D482" s="168">
        <v>19</v>
      </c>
      <c r="E482" s="168">
        <v>22</v>
      </c>
    </row>
    <row r="483" spans="1:5" ht="12.75">
      <c r="A483" s="167" t="s">
        <v>156</v>
      </c>
      <c r="B483" s="168">
        <v>461</v>
      </c>
      <c r="C483" s="167" t="s">
        <v>139</v>
      </c>
      <c r="D483" s="168">
        <v>20</v>
      </c>
      <c r="E483" s="168">
        <v>6</v>
      </c>
    </row>
    <row r="484" spans="1:5" ht="12.75">
      <c r="A484" s="167" t="s">
        <v>1772</v>
      </c>
      <c r="B484" s="168">
        <v>461</v>
      </c>
      <c r="C484" s="167" t="s">
        <v>139</v>
      </c>
      <c r="D484" s="168">
        <v>21</v>
      </c>
      <c r="E484" s="168">
        <v>1</v>
      </c>
    </row>
    <row r="485" spans="1:5" ht="12.75">
      <c r="A485" s="167" t="s">
        <v>157</v>
      </c>
      <c r="B485" s="168">
        <v>461</v>
      </c>
      <c r="C485" s="167" t="s">
        <v>139</v>
      </c>
      <c r="D485" s="168">
        <v>23</v>
      </c>
      <c r="E485" s="168">
        <v>24</v>
      </c>
    </row>
    <row r="486" spans="1:5" ht="12.75">
      <c r="A486" s="167" t="s">
        <v>158</v>
      </c>
      <c r="B486" s="168">
        <v>461</v>
      </c>
      <c r="C486" s="167" t="s">
        <v>139</v>
      </c>
      <c r="D486" s="168">
        <v>22</v>
      </c>
      <c r="E486" s="168">
        <v>23</v>
      </c>
    </row>
    <row r="487" spans="1:5" ht="12.75">
      <c r="A487" s="167" t="s">
        <v>159</v>
      </c>
      <c r="B487" s="168">
        <v>461</v>
      </c>
      <c r="C487" s="167" t="s">
        <v>139</v>
      </c>
      <c r="D487" s="168">
        <v>24</v>
      </c>
      <c r="E487" s="168">
        <v>25</v>
      </c>
    </row>
    <row r="488" spans="1:5" ht="12.75">
      <c r="A488" s="167" t="s">
        <v>160</v>
      </c>
      <c r="B488" s="168">
        <v>461</v>
      </c>
      <c r="C488" s="167" t="s">
        <v>139</v>
      </c>
      <c r="D488" s="168">
        <v>25</v>
      </c>
      <c r="E488" s="168">
        <v>26</v>
      </c>
    </row>
    <row r="489" spans="1:5" ht="12.75">
      <c r="A489" s="167" t="s">
        <v>161</v>
      </c>
      <c r="B489" s="168">
        <v>461</v>
      </c>
      <c r="C489" s="167" t="s">
        <v>139</v>
      </c>
      <c r="D489" s="168">
        <v>26</v>
      </c>
      <c r="E489" s="168">
        <v>27</v>
      </c>
    </row>
    <row r="490" spans="1:5" ht="12.75">
      <c r="A490" s="167" t="s">
        <v>162</v>
      </c>
      <c r="B490" s="168">
        <v>461</v>
      </c>
      <c r="C490" s="167" t="s">
        <v>139</v>
      </c>
      <c r="D490" s="168">
        <v>27</v>
      </c>
      <c r="E490" s="168" t="s">
        <v>1083</v>
      </c>
    </row>
    <row r="491" spans="1:5" ht="12.75">
      <c r="A491" s="167" t="s">
        <v>163</v>
      </c>
      <c r="B491" s="168">
        <v>461</v>
      </c>
      <c r="C491" s="167" t="s">
        <v>139</v>
      </c>
      <c r="D491" s="168">
        <v>28</v>
      </c>
      <c r="E491" s="168">
        <v>28</v>
      </c>
    </row>
    <row r="492" spans="1:5" ht="12.75">
      <c r="A492" s="167" t="s">
        <v>1887</v>
      </c>
      <c r="B492" s="168">
        <v>461</v>
      </c>
      <c r="C492" s="167" t="s">
        <v>139</v>
      </c>
      <c r="D492" s="168">
        <v>29</v>
      </c>
      <c r="E492" s="168">
        <v>3</v>
      </c>
    </row>
    <row r="493" spans="1:5" ht="12.75">
      <c r="A493" s="167" t="s">
        <v>164</v>
      </c>
      <c r="B493" s="168">
        <v>145</v>
      </c>
      <c r="C493" s="167" t="s">
        <v>165</v>
      </c>
      <c r="D493" s="168">
        <v>103</v>
      </c>
      <c r="E493" s="168">
        <v>5</v>
      </c>
    </row>
    <row r="494" spans="1:5" ht="12.75">
      <c r="A494" s="167" t="s">
        <v>166</v>
      </c>
      <c r="B494" s="168">
        <v>145</v>
      </c>
      <c r="C494" s="167" t="s">
        <v>165</v>
      </c>
      <c r="D494" s="168">
        <v>2</v>
      </c>
      <c r="E494" s="168">
        <v>9</v>
      </c>
    </row>
    <row r="495" spans="1:5" ht="12.75">
      <c r="A495" s="167" t="s">
        <v>167</v>
      </c>
      <c r="B495" s="168">
        <v>145</v>
      </c>
      <c r="C495" s="167" t="s">
        <v>165</v>
      </c>
      <c r="D495" s="168">
        <v>90</v>
      </c>
      <c r="E495" s="168" t="s">
        <v>1083</v>
      </c>
    </row>
    <row r="496" spans="1:5" ht="12.75">
      <c r="A496" s="167" t="s">
        <v>168</v>
      </c>
      <c r="B496" s="168">
        <v>145</v>
      </c>
      <c r="C496" s="167" t="s">
        <v>165</v>
      </c>
      <c r="D496" s="168">
        <v>81</v>
      </c>
      <c r="E496" s="168">
        <v>12</v>
      </c>
    </row>
    <row r="497" spans="1:5" ht="12.75">
      <c r="A497" s="167" t="s">
        <v>169</v>
      </c>
      <c r="B497" s="168">
        <v>145</v>
      </c>
      <c r="C497" s="167" t="s">
        <v>165</v>
      </c>
      <c r="D497" s="168">
        <v>55</v>
      </c>
      <c r="E497" s="168">
        <v>8</v>
      </c>
    </row>
    <row r="498" spans="1:5" ht="12.75">
      <c r="A498" s="167" t="s">
        <v>170</v>
      </c>
      <c r="B498" s="168">
        <v>145</v>
      </c>
      <c r="C498" s="167" t="s">
        <v>165</v>
      </c>
      <c r="D498" s="168">
        <v>82</v>
      </c>
      <c r="E498" s="168">
        <v>1</v>
      </c>
    </row>
    <row r="499" spans="1:5" ht="12.75">
      <c r="A499" s="167" t="s">
        <v>171</v>
      </c>
      <c r="B499" s="168">
        <v>145</v>
      </c>
      <c r="C499" s="167" t="s">
        <v>165</v>
      </c>
      <c r="D499" s="168">
        <v>60</v>
      </c>
      <c r="E499" s="168">
        <v>3</v>
      </c>
    </row>
    <row r="500" spans="1:5" ht="12.75">
      <c r="A500" s="167" t="s">
        <v>172</v>
      </c>
      <c r="B500" s="168">
        <v>145</v>
      </c>
      <c r="C500" s="167" t="s">
        <v>165</v>
      </c>
      <c r="D500" s="168">
        <v>14</v>
      </c>
      <c r="E500" s="168">
        <v>15</v>
      </c>
    </row>
    <row r="501" spans="1:5" ht="12.75">
      <c r="A501" s="167" t="s">
        <v>173</v>
      </c>
      <c r="B501" s="168">
        <v>145</v>
      </c>
      <c r="C501" s="167" t="s">
        <v>165</v>
      </c>
      <c r="D501" s="168">
        <v>22</v>
      </c>
      <c r="E501" s="168">
        <v>14</v>
      </c>
    </row>
    <row r="502" spans="1:5" ht="12.75">
      <c r="A502" s="167" t="s">
        <v>174</v>
      </c>
      <c r="B502" s="168">
        <v>145</v>
      </c>
      <c r="C502" s="167" t="s">
        <v>165</v>
      </c>
      <c r="D502" s="168">
        <v>5</v>
      </c>
      <c r="E502" s="168">
        <v>2</v>
      </c>
    </row>
    <row r="503" spans="1:5" ht="12.75">
      <c r="A503" s="167" t="s">
        <v>175</v>
      </c>
      <c r="B503" s="168">
        <v>145</v>
      </c>
      <c r="C503" s="167" t="s">
        <v>165</v>
      </c>
      <c r="D503" s="168">
        <v>126</v>
      </c>
      <c r="E503" s="168">
        <v>11</v>
      </c>
    </row>
    <row r="504" spans="1:5" ht="12.75">
      <c r="A504" s="167" t="s">
        <v>176</v>
      </c>
      <c r="B504" s="168">
        <v>145</v>
      </c>
      <c r="C504" s="167" t="s">
        <v>165</v>
      </c>
      <c r="D504" s="168">
        <v>15</v>
      </c>
      <c r="E504" s="168">
        <v>6</v>
      </c>
    </row>
    <row r="505" spans="1:5" ht="12.75">
      <c r="A505" s="167" t="s">
        <v>177</v>
      </c>
      <c r="B505" s="168">
        <v>145</v>
      </c>
      <c r="C505" s="167" t="s">
        <v>165</v>
      </c>
      <c r="D505" s="168">
        <v>121</v>
      </c>
      <c r="E505" s="168" t="s">
        <v>1083</v>
      </c>
    </row>
    <row r="506" spans="1:5" ht="12.75">
      <c r="A506" s="167" t="s">
        <v>178</v>
      </c>
      <c r="B506" s="168">
        <v>145</v>
      </c>
      <c r="C506" s="167" t="s">
        <v>165</v>
      </c>
      <c r="D506" s="168">
        <v>92</v>
      </c>
      <c r="E506" s="168">
        <v>10</v>
      </c>
    </row>
    <row r="507" spans="1:5" ht="12.75">
      <c r="A507" s="167" t="s">
        <v>179</v>
      </c>
      <c r="B507" s="168">
        <v>145</v>
      </c>
      <c r="C507" s="167" t="s">
        <v>165</v>
      </c>
      <c r="D507" s="168">
        <v>50</v>
      </c>
      <c r="E507" s="168">
        <v>13</v>
      </c>
    </row>
    <row r="508" spans="1:5" ht="12.75">
      <c r="A508" s="167" t="s">
        <v>180</v>
      </c>
      <c r="B508" s="168">
        <v>145</v>
      </c>
      <c r="C508" s="167" t="s">
        <v>165</v>
      </c>
      <c r="D508" s="168">
        <v>117</v>
      </c>
      <c r="E508" s="168" t="s">
        <v>1083</v>
      </c>
    </row>
    <row r="509" spans="1:5" ht="12.75">
      <c r="A509" s="167" t="s">
        <v>181</v>
      </c>
      <c r="B509" s="168">
        <v>145</v>
      </c>
      <c r="C509" s="167" t="s">
        <v>165</v>
      </c>
      <c r="D509" s="168">
        <v>38</v>
      </c>
      <c r="E509" s="168">
        <v>4</v>
      </c>
    </row>
    <row r="510" spans="1:5" ht="12.75">
      <c r="A510" s="167" t="s">
        <v>182</v>
      </c>
      <c r="B510" s="168">
        <v>145</v>
      </c>
      <c r="C510" s="167" t="s">
        <v>165</v>
      </c>
      <c r="D510" s="168">
        <v>68</v>
      </c>
      <c r="E510" s="168">
        <v>7</v>
      </c>
    </row>
    <row r="511" spans="1:5" ht="12.75">
      <c r="A511" s="167" t="s">
        <v>183</v>
      </c>
      <c r="B511" s="168">
        <v>332</v>
      </c>
      <c r="C511" s="167" t="s">
        <v>184</v>
      </c>
      <c r="D511" s="168">
        <v>260</v>
      </c>
      <c r="E511" s="168" t="s">
        <v>1083</v>
      </c>
    </row>
    <row r="512" spans="1:5" ht="12.75">
      <c r="A512" s="167" t="s">
        <v>185</v>
      </c>
      <c r="B512" s="168">
        <v>332</v>
      </c>
      <c r="C512" s="167" t="s">
        <v>184</v>
      </c>
      <c r="D512" s="168">
        <v>2</v>
      </c>
      <c r="E512" s="168" t="s">
        <v>1083</v>
      </c>
    </row>
    <row r="513" spans="1:5" ht="12.75">
      <c r="A513" s="167" t="s">
        <v>186</v>
      </c>
      <c r="B513" s="168">
        <v>332</v>
      </c>
      <c r="C513" s="167" t="s">
        <v>184</v>
      </c>
      <c r="D513" s="168">
        <v>154</v>
      </c>
      <c r="E513" s="168">
        <v>25</v>
      </c>
    </row>
    <row r="514" spans="1:5" ht="12.75">
      <c r="A514" s="167" t="s">
        <v>187</v>
      </c>
      <c r="B514" s="168">
        <v>332</v>
      </c>
      <c r="C514" s="167" t="s">
        <v>184</v>
      </c>
      <c r="D514" s="168">
        <v>139</v>
      </c>
      <c r="E514" s="168">
        <v>22</v>
      </c>
    </row>
    <row r="515" spans="1:5" ht="12.75">
      <c r="A515" s="167" t="s">
        <v>188</v>
      </c>
      <c r="B515" s="168">
        <v>332</v>
      </c>
      <c r="C515" s="167" t="s">
        <v>184</v>
      </c>
      <c r="D515" s="168">
        <v>271</v>
      </c>
      <c r="E515" s="168" t="s">
        <v>1083</v>
      </c>
    </row>
    <row r="516" spans="1:5" ht="12.75">
      <c r="A516" s="167" t="s">
        <v>189</v>
      </c>
      <c r="B516" s="168">
        <v>332</v>
      </c>
      <c r="C516" s="167" t="s">
        <v>184</v>
      </c>
      <c r="D516" s="168">
        <v>10</v>
      </c>
      <c r="E516" s="168" t="s">
        <v>1083</v>
      </c>
    </row>
    <row r="517" spans="1:5" ht="12.75">
      <c r="A517" s="167" t="s">
        <v>190</v>
      </c>
      <c r="B517" s="168">
        <v>332</v>
      </c>
      <c r="C517" s="167" t="s">
        <v>184</v>
      </c>
      <c r="D517" s="168">
        <v>11</v>
      </c>
      <c r="E517" s="168" t="s">
        <v>1083</v>
      </c>
    </row>
    <row r="518" spans="1:5" ht="12.75">
      <c r="A518" s="167" t="s">
        <v>191</v>
      </c>
      <c r="B518" s="168">
        <v>332</v>
      </c>
      <c r="C518" s="167" t="s">
        <v>184</v>
      </c>
      <c r="D518" s="168">
        <v>13</v>
      </c>
      <c r="E518" s="168">
        <v>7</v>
      </c>
    </row>
    <row r="519" spans="1:5" ht="12.75">
      <c r="A519" s="167" t="s">
        <v>192</v>
      </c>
      <c r="B519" s="168">
        <v>332</v>
      </c>
      <c r="C519" s="167" t="s">
        <v>184</v>
      </c>
      <c r="D519" s="168">
        <v>261</v>
      </c>
      <c r="E519" s="168">
        <v>13</v>
      </c>
    </row>
    <row r="520" spans="1:5" ht="12.75">
      <c r="A520" s="167" t="s">
        <v>193</v>
      </c>
      <c r="B520" s="168">
        <v>332</v>
      </c>
      <c r="C520" s="167" t="s">
        <v>184</v>
      </c>
      <c r="D520" s="168">
        <v>225</v>
      </c>
      <c r="E520" s="168" t="s">
        <v>1083</v>
      </c>
    </row>
    <row r="521" spans="1:5" ht="12.75">
      <c r="A521" s="167" t="s">
        <v>194</v>
      </c>
      <c r="B521" s="168">
        <v>332</v>
      </c>
      <c r="C521" s="167" t="s">
        <v>184</v>
      </c>
      <c r="D521" s="168">
        <v>130</v>
      </c>
      <c r="E521" s="168">
        <v>10</v>
      </c>
    </row>
    <row r="522" spans="1:5" ht="12.75">
      <c r="A522" s="167" t="s">
        <v>195</v>
      </c>
      <c r="B522" s="168">
        <v>332</v>
      </c>
      <c r="C522" s="167" t="s">
        <v>184</v>
      </c>
      <c r="D522" s="168">
        <v>272</v>
      </c>
      <c r="E522" s="168" t="s">
        <v>1083</v>
      </c>
    </row>
    <row r="523" spans="1:5" ht="12.75">
      <c r="A523" s="167" t="s">
        <v>196</v>
      </c>
      <c r="B523" s="168">
        <v>332</v>
      </c>
      <c r="C523" s="167" t="s">
        <v>184</v>
      </c>
      <c r="D523" s="168">
        <v>277</v>
      </c>
      <c r="E523" s="168">
        <v>20</v>
      </c>
    </row>
    <row r="524" spans="1:5" ht="12.75">
      <c r="A524" s="167" t="s">
        <v>197</v>
      </c>
      <c r="B524" s="168">
        <v>332</v>
      </c>
      <c r="C524" s="167" t="s">
        <v>184</v>
      </c>
      <c r="D524" s="168">
        <v>273</v>
      </c>
      <c r="E524" s="168" t="s">
        <v>1083</v>
      </c>
    </row>
    <row r="525" spans="1:5" ht="12.75">
      <c r="A525" s="167" t="s">
        <v>198</v>
      </c>
      <c r="B525" s="168">
        <v>332</v>
      </c>
      <c r="C525" s="167" t="s">
        <v>184</v>
      </c>
      <c r="D525" s="168">
        <v>164</v>
      </c>
      <c r="E525" s="168" t="s">
        <v>1083</v>
      </c>
    </row>
    <row r="526" spans="1:5" ht="12.75">
      <c r="A526" s="167" t="s">
        <v>199</v>
      </c>
      <c r="B526" s="168">
        <v>332</v>
      </c>
      <c r="C526" s="167" t="s">
        <v>184</v>
      </c>
      <c r="D526" s="168">
        <v>275</v>
      </c>
      <c r="E526" s="168">
        <v>6</v>
      </c>
    </row>
    <row r="527" spans="1:5" ht="12.75">
      <c r="A527" s="167" t="s">
        <v>200</v>
      </c>
      <c r="B527" s="168">
        <v>332</v>
      </c>
      <c r="C527" s="167" t="s">
        <v>184</v>
      </c>
      <c r="D527" s="168">
        <v>117</v>
      </c>
      <c r="E527" s="168">
        <v>16</v>
      </c>
    </row>
    <row r="528" spans="1:5" ht="12.75">
      <c r="A528" s="167" t="s">
        <v>201</v>
      </c>
      <c r="B528" s="168">
        <v>332</v>
      </c>
      <c r="C528" s="167" t="s">
        <v>184</v>
      </c>
      <c r="D528" s="168">
        <v>262</v>
      </c>
      <c r="E528" s="168" t="s">
        <v>1083</v>
      </c>
    </row>
    <row r="529" spans="1:5" ht="12.75">
      <c r="A529" s="167" t="s">
        <v>202</v>
      </c>
      <c r="B529" s="168">
        <v>332</v>
      </c>
      <c r="C529" s="167" t="s">
        <v>184</v>
      </c>
      <c r="D529" s="168">
        <v>28</v>
      </c>
      <c r="E529" s="168" t="s">
        <v>1083</v>
      </c>
    </row>
    <row r="530" spans="1:5" ht="12.75">
      <c r="A530" s="167" t="s">
        <v>203</v>
      </c>
      <c r="B530" s="168">
        <v>332</v>
      </c>
      <c r="C530" s="167" t="s">
        <v>184</v>
      </c>
      <c r="D530" s="168">
        <v>278</v>
      </c>
      <c r="E530" s="168" t="s">
        <v>1083</v>
      </c>
    </row>
    <row r="531" spans="1:5" ht="12.75">
      <c r="A531" s="167" t="s">
        <v>204</v>
      </c>
      <c r="B531" s="168">
        <v>332</v>
      </c>
      <c r="C531" s="167" t="s">
        <v>184</v>
      </c>
      <c r="D531" s="168">
        <v>235</v>
      </c>
      <c r="E531" s="168" t="s">
        <v>1083</v>
      </c>
    </row>
    <row r="532" spans="1:5" ht="12.75">
      <c r="A532" s="167" t="s">
        <v>205</v>
      </c>
      <c r="B532" s="168">
        <v>332</v>
      </c>
      <c r="C532" s="167" t="s">
        <v>184</v>
      </c>
      <c r="D532" s="168">
        <v>109</v>
      </c>
      <c r="E532" s="168" t="s">
        <v>1083</v>
      </c>
    </row>
    <row r="533" spans="1:5" ht="12.75">
      <c r="A533" s="167" t="s">
        <v>206</v>
      </c>
      <c r="B533" s="168">
        <v>332</v>
      </c>
      <c r="C533" s="167" t="s">
        <v>184</v>
      </c>
      <c r="D533" s="168">
        <v>165</v>
      </c>
      <c r="E533" s="168">
        <v>1</v>
      </c>
    </row>
    <row r="534" spans="1:5" ht="12.75">
      <c r="A534" s="167" t="s">
        <v>207</v>
      </c>
      <c r="B534" s="168">
        <v>332</v>
      </c>
      <c r="C534" s="167" t="s">
        <v>184</v>
      </c>
      <c r="D534" s="168">
        <v>255</v>
      </c>
      <c r="E534" s="168" t="s">
        <v>1083</v>
      </c>
    </row>
    <row r="535" spans="1:5" ht="12.75">
      <c r="A535" s="167" t="s">
        <v>208</v>
      </c>
      <c r="B535" s="168">
        <v>332</v>
      </c>
      <c r="C535" s="167" t="s">
        <v>184</v>
      </c>
      <c r="D535" s="168">
        <v>264</v>
      </c>
      <c r="E535" s="168">
        <v>21</v>
      </c>
    </row>
    <row r="536" spans="1:5" ht="12.75">
      <c r="A536" s="167" t="s">
        <v>209</v>
      </c>
      <c r="B536" s="168">
        <v>332</v>
      </c>
      <c r="C536" s="167" t="s">
        <v>184</v>
      </c>
      <c r="D536" s="168">
        <v>267</v>
      </c>
      <c r="E536" s="168" t="s">
        <v>1083</v>
      </c>
    </row>
    <row r="537" spans="1:5" ht="12.75">
      <c r="A537" s="167" t="s">
        <v>210</v>
      </c>
      <c r="B537" s="168">
        <v>332</v>
      </c>
      <c r="C537" s="167" t="s">
        <v>184</v>
      </c>
      <c r="D537" s="168">
        <v>40</v>
      </c>
      <c r="E537" s="168">
        <v>5</v>
      </c>
    </row>
    <row r="538" spans="1:5" ht="12.75">
      <c r="A538" s="167" t="s">
        <v>211</v>
      </c>
      <c r="B538" s="168">
        <v>332</v>
      </c>
      <c r="C538" s="167" t="s">
        <v>184</v>
      </c>
      <c r="D538" s="168">
        <v>123</v>
      </c>
      <c r="E538" s="168">
        <v>17</v>
      </c>
    </row>
    <row r="539" spans="1:5" ht="12.75">
      <c r="A539" s="167" t="s">
        <v>212</v>
      </c>
      <c r="B539" s="168">
        <v>332</v>
      </c>
      <c r="C539" s="167" t="s">
        <v>184</v>
      </c>
      <c r="D539" s="168">
        <v>268</v>
      </c>
      <c r="E539" s="168" t="s">
        <v>1083</v>
      </c>
    </row>
    <row r="540" spans="1:5" ht="12.75">
      <c r="A540" s="167" t="s">
        <v>213</v>
      </c>
      <c r="B540" s="168">
        <v>332</v>
      </c>
      <c r="C540" s="167" t="s">
        <v>184</v>
      </c>
      <c r="D540" s="168">
        <v>43</v>
      </c>
      <c r="E540" s="168" t="s">
        <v>1083</v>
      </c>
    </row>
    <row r="541" spans="1:5" ht="12.75">
      <c r="A541" s="167" t="s">
        <v>214</v>
      </c>
      <c r="B541" s="168">
        <v>332</v>
      </c>
      <c r="C541" s="167" t="s">
        <v>184</v>
      </c>
      <c r="D541" s="168">
        <v>89</v>
      </c>
      <c r="E541" s="168">
        <v>8</v>
      </c>
    </row>
    <row r="542" spans="1:5" ht="12.75">
      <c r="A542" s="167" t="s">
        <v>215</v>
      </c>
      <c r="B542" s="168">
        <v>332</v>
      </c>
      <c r="C542" s="167" t="s">
        <v>184</v>
      </c>
      <c r="D542" s="168">
        <v>279</v>
      </c>
      <c r="E542" s="168">
        <v>4</v>
      </c>
    </row>
    <row r="543" spans="1:5" ht="12.75">
      <c r="A543" s="167" t="s">
        <v>216</v>
      </c>
      <c r="B543" s="168">
        <v>332</v>
      </c>
      <c r="C543" s="167" t="s">
        <v>184</v>
      </c>
      <c r="D543" s="168">
        <v>280</v>
      </c>
      <c r="E543" s="168" t="s">
        <v>1083</v>
      </c>
    </row>
    <row r="544" spans="1:5" ht="12.75">
      <c r="A544" s="167" t="s">
        <v>217</v>
      </c>
      <c r="B544" s="168">
        <v>332</v>
      </c>
      <c r="C544" s="167" t="s">
        <v>184</v>
      </c>
      <c r="D544" s="168">
        <v>258</v>
      </c>
      <c r="E544" s="168" t="s">
        <v>1083</v>
      </c>
    </row>
    <row r="545" spans="1:5" ht="12.75">
      <c r="A545" s="167" t="s">
        <v>218</v>
      </c>
      <c r="B545" s="168">
        <v>332</v>
      </c>
      <c r="C545" s="167" t="s">
        <v>184</v>
      </c>
      <c r="D545" s="168">
        <v>48</v>
      </c>
      <c r="E545" s="168" t="s">
        <v>1083</v>
      </c>
    </row>
    <row r="546" spans="1:5" ht="12.75">
      <c r="A546" s="167" t="s">
        <v>219</v>
      </c>
      <c r="B546" s="168">
        <v>332</v>
      </c>
      <c r="C546" s="167" t="s">
        <v>184</v>
      </c>
      <c r="D546" s="168">
        <v>211</v>
      </c>
      <c r="E546" s="168">
        <v>12</v>
      </c>
    </row>
    <row r="547" spans="1:5" ht="12.75">
      <c r="A547" s="167" t="s">
        <v>220</v>
      </c>
      <c r="B547" s="168">
        <v>332</v>
      </c>
      <c r="C547" s="167" t="s">
        <v>184</v>
      </c>
      <c r="D547" s="168">
        <v>212</v>
      </c>
      <c r="E547" s="168">
        <v>18</v>
      </c>
    </row>
    <row r="548" spans="1:5" ht="12.75">
      <c r="A548" s="167" t="s">
        <v>221</v>
      </c>
      <c r="B548" s="168">
        <v>332</v>
      </c>
      <c r="C548" s="167" t="s">
        <v>184</v>
      </c>
      <c r="D548" s="168">
        <v>281</v>
      </c>
      <c r="E548" s="168">
        <v>14</v>
      </c>
    </row>
    <row r="549" spans="1:5" ht="12.75">
      <c r="A549" s="167" t="s">
        <v>222</v>
      </c>
      <c r="B549" s="168">
        <v>332</v>
      </c>
      <c r="C549" s="167" t="s">
        <v>184</v>
      </c>
      <c r="D549" s="168">
        <v>276</v>
      </c>
      <c r="E549" s="168" t="s">
        <v>1083</v>
      </c>
    </row>
    <row r="550" spans="1:5" ht="12.75">
      <c r="A550" s="167" t="s">
        <v>223</v>
      </c>
      <c r="B550" s="168">
        <v>332</v>
      </c>
      <c r="C550" s="167" t="s">
        <v>184</v>
      </c>
      <c r="D550" s="168">
        <v>55</v>
      </c>
      <c r="E550" s="168" t="s">
        <v>1083</v>
      </c>
    </row>
    <row r="551" spans="1:5" ht="12.75">
      <c r="A551" s="167" t="s">
        <v>224</v>
      </c>
      <c r="B551" s="168">
        <v>332</v>
      </c>
      <c r="C551" s="167" t="s">
        <v>184</v>
      </c>
      <c r="D551" s="168">
        <v>241</v>
      </c>
      <c r="E551" s="168" t="s">
        <v>1083</v>
      </c>
    </row>
    <row r="552" spans="1:5" ht="12.75">
      <c r="A552" s="167" t="s">
        <v>225</v>
      </c>
      <c r="B552" s="168">
        <v>332</v>
      </c>
      <c r="C552" s="167" t="s">
        <v>184</v>
      </c>
      <c r="D552" s="168">
        <v>220</v>
      </c>
      <c r="E552" s="168" t="s">
        <v>1083</v>
      </c>
    </row>
    <row r="553" spans="1:5" ht="12.75">
      <c r="A553" s="167" t="s">
        <v>226</v>
      </c>
      <c r="B553" s="168">
        <v>332</v>
      </c>
      <c r="C553" s="167" t="s">
        <v>184</v>
      </c>
      <c r="D553" s="168">
        <v>111</v>
      </c>
      <c r="E553" s="168">
        <v>23</v>
      </c>
    </row>
    <row r="554" spans="1:5" ht="12.75">
      <c r="A554" s="167" t="s">
        <v>227</v>
      </c>
      <c r="B554" s="168">
        <v>332</v>
      </c>
      <c r="C554" s="167" t="s">
        <v>184</v>
      </c>
      <c r="D554" s="168">
        <v>132</v>
      </c>
      <c r="E554" s="168">
        <v>24</v>
      </c>
    </row>
    <row r="555" spans="1:5" ht="12.75">
      <c r="A555" s="167" t="s">
        <v>228</v>
      </c>
      <c r="B555" s="168">
        <v>332</v>
      </c>
      <c r="C555" s="167" t="s">
        <v>184</v>
      </c>
      <c r="D555" s="168">
        <v>173</v>
      </c>
      <c r="E555" s="168" t="s">
        <v>1083</v>
      </c>
    </row>
    <row r="556" spans="1:5" ht="12.75">
      <c r="A556" s="167" t="s">
        <v>229</v>
      </c>
      <c r="B556" s="168">
        <v>332</v>
      </c>
      <c r="C556" s="167" t="s">
        <v>184</v>
      </c>
      <c r="D556" s="168">
        <v>239</v>
      </c>
      <c r="E556" s="168" t="s">
        <v>1083</v>
      </c>
    </row>
    <row r="557" spans="1:5" ht="12.75">
      <c r="A557" s="167" t="s">
        <v>230</v>
      </c>
      <c r="B557" s="168">
        <v>332</v>
      </c>
      <c r="C557" s="167" t="s">
        <v>184</v>
      </c>
      <c r="D557" s="168">
        <v>214</v>
      </c>
      <c r="E557" s="168" t="s">
        <v>1083</v>
      </c>
    </row>
    <row r="558" spans="1:5" ht="12.75">
      <c r="A558" s="167" t="s">
        <v>231</v>
      </c>
      <c r="B558" s="168">
        <v>332</v>
      </c>
      <c r="C558" s="167" t="s">
        <v>184</v>
      </c>
      <c r="D558" s="168">
        <v>66</v>
      </c>
      <c r="E558" s="168">
        <v>11</v>
      </c>
    </row>
    <row r="559" spans="1:5" ht="12.75">
      <c r="A559" s="167" t="s">
        <v>232</v>
      </c>
      <c r="B559" s="168">
        <v>332</v>
      </c>
      <c r="C559" s="167" t="s">
        <v>184</v>
      </c>
      <c r="D559" s="168">
        <v>67</v>
      </c>
      <c r="E559" s="168">
        <v>19</v>
      </c>
    </row>
    <row r="560" spans="1:5" ht="12.75">
      <c r="A560" s="167" t="s">
        <v>233</v>
      </c>
      <c r="B560" s="168">
        <v>332</v>
      </c>
      <c r="C560" s="167" t="s">
        <v>184</v>
      </c>
      <c r="D560" s="168">
        <v>196</v>
      </c>
      <c r="E560" s="168">
        <v>15</v>
      </c>
    </row>
    <row r="561" spans="1:5" ht="12.75">
      <c r="A561" s="167" t="s">
        <v>234</v>
      </c>
      <c r="B561" s="168">
        <v>332</v>
      </c>
      <c r="C561" s="167" t="s">
        <v>184</v>
      </c>
      <c r="D561" s="168">
        <v>134</v>
      </c>
      <c r="E561" s="168">
        <v>2</v>
      </c>
    </row>
    <row r="562" spans="1:5" ht="12.75">
      <c r="A562" s="167" t="s">
        <v>235</v>
      </c>
      <c r="B562" s="168">
        <v>332</v>
      </c>
      <c r="C562" s="167" t="s">
        <v>184</v>
      </c>
      <c r="D562" s="168">
        <v>259</v>
      </c>
      <c r="E562" s="168">
        <v>3</v>
      </c>
    </row>
    <row r="563" spans="1:5" ht="12.75">
      <c r="A563" s="167" t="s">
        <v>236</v>
      </c>
      <c r="B563" s="168">
        <v>332</v>
      </c>
      <c r="C563" s="167" t="s">
        <v>184</v>
      </c>
      <c r="D563" s="168">
        <v>240</v>
      </c>
      <c r="E563" s="168" t="s">
        <v>1083</v>
      </c>
    </row>
    <row r="564" spans="1:5" ht="12.75">
      <c r="A564" s="167" t="s">
        <v>237</v>
      </c>
      <c r="B564" s="168">
        <v>332</v>
      </c>
      <c r="C564" s="167" t="s">
        <v>184</v>
      </c>
      <c r="D564" s="168">
        <v>205</v>
      </c>
      <c r="E564" s="168">
        <v>9</v>
      </c>
    </row>
    <row r="565" spans="1:5" ht="12.75">
      <c r="A565" s="167" t="s">
        <v>238</v>
      </c>
      <c r="B565" s="168">
        <v>332</v>
      </c>
      <c r="C565" s="167" t="s">
        <v>184</v>
      </c>
      <c r="D565" s="168">
        <v>274</v>
      </c>
      <c r="E565" s="168" t="s">
        <v>1083</v>
      </c>
    </row>
    <row r="566" spans="1:5" ht="12.75">
      <c r="A566" s="167" t="s">
        <v>239</v>
      </c>
      <c r="B566" s="168">
        <v>332</v>
      </c>
      <c r="C566" s="167" t="s">
        <v>184</v>
      </c>
      <c r="D566" s="168">
        <v>79</v>
      </c>
      <c r="E566" s="168" t="s">
        <v>1083</v>
      </c>
    </row>
    <row r="567" spans="1:5" ht="12.75">
      <c r="A567" s="167" t="s">
        <v>240</v>
      </c>
      <c r="B567" s="168">
        <v>332</v>
      </c>
      <c r="C567" s="167" t="s">
        <v>184</v>
      </c>
      <c r="D567" s="168">
        <v>233</v>
      </c>
      <c r="E567" s="168" t="s">
        <v>1083</v>
      </c>
    </row>
    <row r="568" spans="1:5" ht="12.75">
      <c r="A568" s="167" t="s">
        <v>241</v>
      </c>
      <c r="B568" s="168">
        <v>332</v>
      </c>
      <c r="C568" s="167" t="s">
        <v>184</v>
      </c>
      <c r="D568" s="168">
        <v>234</v>
      </c>
      <c r="E568" s="168" t="s">
        <v>1083</v>
      </c>
    </row>
    <row r="569" spans="1:5" ht="12.75">
      <c r="A569" s="167" t="s">
        <v>242</v>
      </c>
      <c r="B569" s="168">
        <v>356</v>
      </c>
      <c r="C569" s="167" t="s">
        <v>243</v>
      </c>
      <c r="D569" s="168">
        <v>147</v>
      </c>
      <c r="E569" s="168" t="s">
        <v>1083</v>
      </c>
    </row>
    <row r="570" spans="1:5" ht="12.75">
      <c r="A570" s="167" t="s">
        <v>244</v>
      </c>
      <c r="B570" s="168">
        <v>356</v>
      </c>
      <c r="C570" s="167" t="s">
        <v>243</v>
      </c>
      <c r="D570" s="168">
        <v>53</v>
      </c>
      <c r="E570" s="168" t="s">
        <v>1083</v>
      </c>
    </row>
    <row r="571" spans="1:5" ht="12.75">
      <c r="A571" s="167" t="s">
        <v>245</v>
      </c>
      <c r="B571" s="168">
        <v>356</v>
      </c>
      <c r="C571" s="167" t="s">
        <v>243</v>
      </c>
      <c r="D571" s="168">
        <v>146</v>
      </c>
      <c r="E571" s="168" t="s">
        <v>1083</v>
      </c>
    </row>
    <row r="572" spans="1:5" ht="12.75">
      <c r="A572" s="167" t="s">
        <v>246</v>
      </c>
      <c r="B572" s="168">
        <v>356</v>
      </c>
      <c r="C572" s="167" t="s">
        <v>243</v>
      </c>
      <c r="D572" s="168">
        <v>154</v>
      </c>
      <c r="E572" s="168" t="s">
        <v>1083</v>
      </c>
    </row>
    <row r="573" spans="1:5" ht="12.75">
      <c r="A573" s="167" t="s">
        <v>247</v>
      </c>
      <c r="B573" s="168">
        <v>356</v>
      </c>
      <c r="C573" s="167" t="s">
        <v>243</v>
      </c>
      <c r="D573" s="168">
        <v>48</v>
      </c>
      <c r="E573" s="168" t="s">
        <v>1083</v>
      </c>
    </row>
    <row r="574" spans="1:5" ht="12.75">
      <c r="A574" s="167" t="s">
        <v>248</v>
      </c>
      <c r="B574" s="168">
        <v>356</v>
      </c>
      <c r="C574" s="167" t="s">
        <v>243</v>
      </c>
      <c r="D574" s="168">
        <v>52</v>
      </c>
      <c r="E574" s="168">
        <v>5</v>
      </c>
    </row>
    <row r="575" spans="1:5" ht="12.75">
      <c r="A575" s="167" t="s">
        <v>249</v>
      </c>
      <c r="B575" s="168">
        <v>356</v>
      </c>
      <c r="C575" s="167" t="s">
        <v>243</v>
      </c>
      <c r="D575" s="168">
        <v>38</v>
      </c>
      <c r="E575" s="168" t="s">
        <v>1083</v>
      </c>
    </row>
    <row r="576" spans="1:5" ht="12.75">
      <c r="A576" s="167" t="s">
        <v>250</v>
      </c>
      <c r="B576" s="168">
        <v>356</v>
      </c>
      <c r="C576" s="167" t="s">
        <v>243</v>
      </c>
      <c r="D576" s="168">
        <v>130</v>
      </c>
      <c r="E576" s="168">
        <v>7</v>
      </c>
    </row>
    <row r="577" spans="1:5" ht="12.75">
      <c r="A577" s="167" t="s">
        <v>251</v>
      </c>
      <c r="B577" s="168">
        <v>356</v>
      </c>
      <c r="C577" s="167" t="s">
        <v>243</v>
      </c>
      <c r="D577" s="168">
        <v>106</v>
      </c>
      <c r="E577" s="168">
        <v>1</v>
      </c>
    </row>
    <row r="578" spans="1:5" ht="12.75">
      <c r="A578" s="167" t="s">
        <v>252</v>
      </c>
      <c r="B578" s="168">
        <v>356</v>
      </c>
      <c r="C578" s="167" t="s">
        <v>243</v>
      </c>
      <c r="D578" s="168">
        <v>16</v>
      </c>
      <c r="E578" s="168" t="s">
        <v>1083</v>
      </c>
    </row>
    <row r="579" spans="1:5" ht="12.75">
      <c r="A579" s="167" t="s">
        <v>253</v>
      </c>
      <c r="B579" s="168">
        <v>356</v>
      </c>
      <c r="C579" s="167" t="s">
        <v>243</v>
      </c>
      <c r="D579" s="168">
        <v>15</v>
      </c>
      <c r="E579" s="168">
        <v>12</v>
      </c>
    </row>
    <row r="580" spans="1:5" ht="12.75">
      <c r="A580" s="167" t="s">
        <v>0</v>
      </c>
      <c r="B580" s="168">
        <v>356</v>
      </c>
      <c r="C580" s="167" t="s">
        <v>243</v>
      </c>
      <c r="D580" s="168">
        <v>155</v>
      </c>
      <c r="E580" s="168">
        <v>8</v>
      </c>
    </row>
    <row r="581" spans="1:5" ht="12.75">
      <c r="A581" s="167" t="s">
        <v>254</v>
      </c>
      <c r="B581" s="168">
        <v>356</v>
      </c>
      <c r="C581" s="167" t="s">
        <v>243</v>
      </c>
      <c r="D581" s="168">
        <v>149</v>
      </c>
      <c r="E581" s="168">
        <v>11</v>
      </c>
    </row>
    <row r="582" spans="1:5" ht="12.75">
      <c r="A582" s="167" t="s">
        <v>255</v>
      </c>
      <c r="B582" s="168">
        <v>356</v>
      </c>
      <c r="C582" s="167" t="s">
        <v>243</v>
      </c>
      <c r="D582" s="168">
        <v>150</v>
      </c>
      <c r="E582" s="168" t="s">
        <v>1083</v>
      </c>
    </row>
    <row r="583" spans="1:5" ht="12.75">
      <c r="A583" s="167" t="s">
        <v>256</v>
      </c>
      <c r="B583" s="168">
        <v>356</v>
      </c>
      <c r="C583" s="167" t="s">
        <v>243</v>
      </c>
      <c r="D583" s="168">
        <v>123</v>
      </c>
      <c r="E583" s="168">
        <v>6</v>
      </c>
    </row>
    <row r="584" spans="1:5" ht="12.75">
      <c r="A584" s="167" t="s">
        <v>257</v>
      </c>
      <c r="B584" s="168">
        <v>356</v>
      </c>
      <c r="C584" s="167" t="s">
        <v>243</v>
      </c>
      <c r="D584" s="168">
        <v>23</v>
      </c>
      <c r="E584" s="168" t="s">
        <v>1083</v>
      </c>
    </row>
    <row r="585" spans="1:5" ht="12.75">
      <c r="A585" s="167" t="s">
        <v>258</v>
      </c>
      <c r="B585" s="168">
        <v>356</v>
      </c>
      <c r="C585" s="167" t="s">
        <v>243</v>
      </c>
      <c r="D585" s="168">
        <v>24</v>
      </c>
      <c r="E585" s="168">
        <v>14</v>
      </c>
    </row>
    <row r="586" spans="1:5" ht="12.75">
      <c r="A586" s="167" t="s">
        <v>259</v>
      </c>
      <c r="B586" s="168">
        <v>356</v>
      </c>
      <c r="C586" s="167" t="s">
        <v>243</v>
      </c>
      <c r="D586" s="168">
        <v>116</v>
      </c>
      <c r="E586" s="168">
        <v>4</v>
      </c>
    </row>
    <row r="587" spans="1:5" ht="12.75">
      <c r="A587" s="167" t="s">
        <v>260</v>
      </c>
      <c r="B587" s="168">
        <v>356</v>
      </c>
      <c r="C587" s="167" t="s">
        <v>243</v>
      </c>
      <c r="D587" s="168">
        <v>27</v>
      </c>
      <c r="E587" s="168">
        <v>9</v>
      </c>
    </row>
    <row r="588" spans="1:5" ht="12.75">
      <c r="A588" s="167" t="s">
        <v>261</v>
      </c>
      <c r="B588" s="168">
        <v>356</v>
      </c>
      <c r="C588" s="167" t="s">
        <v>243</v>
      </c>
      <c r="D588" s="168">
        <v>136</v>
      </c>
      <c r="E588" s="168">
        <v>13</v>
      </c>
    </row>
    <row r="589" spans="1:5" ht="12.75">
      <c r="A589" s="167" t="s">
        <v>262</v>
      </c>
      <c r="B589" s="168">
        <v>356</v>
      </c>
      <c r="C589" s="167" t="s">
        <v>243</v>
      </c>
      <c r="D589" s="168">
        <v>141</v>
      </c>
      <c r="E589" s="168">
        <v>3</v>
      </c>
    </row>
    <row r="590" spans="1:5" ht="12.75">
      <c r="A590" s="167" t="s">
        <v>263</v>
      </c>
      <c r="B590" s="168">
        <v>356</v>
      </c>
      <c r="C590" s="167" t="s">
        <v>243</v>
      </c>
      <c r="D590" s="168">
        <v>156</v>
      </c>
      <c r="E590" s="168" t="s">
        <v>1083</v>
      </c>
    </row>
    <row r="591" spans="1:5" ht="12.75">
      <c r="A591" s="167" t="s">
        <v>264</v>
      </c>
      <c r="B591" s="168">
        <v>356</v>
      </c>
      <c r="C591" s="167" t="s">
        <v>243</v>
      </c>
      <c r="D591" s="168">
        <v>148</v>
      </c>
      <c r="E591" s="168">
        <v>10</v>
      </c>
    </row>
    <row r="592" spans="1:5" ht="12.75">
      <c r="A592" s="167" t="s">
        <v>265</v>
      </c>
      <c r="B592" s="168">
        <v>356</v>
      </c>
      <c r="C592" s="167" t="s">
        <v>243</v>
      </c>
      <c r="D592" s="168">
        <v>90</v>
      </c>
      <c r="E592" s="168">
        <v>2</v>
      </c>
    </row>
    <row r="593" spans="1:5" ht="12.75">
      <c r="A593" s="167" t="s">
        <v>266</v>
      </c>
      <c r="B593" s="168">
        <v>356</v>
      </c>
      <c r="C593" s="167" t="s">
        <v>243</v>
      </c>
      <c r="D593" s="168">
        <v>151</v>
      </c>
      <c r="E593" s="168" t="s">
        <v>1083</v>
      </c>
    </row>
    <row r="594" spans="1:5" ht="12.75">
      <c r="A594" s="167" t="s">
        <v>267</v>
      </c>
      <c r="B594" s="168">
        <v>371</v>
      </c>
      <c r="C594" s="167" t="s">
        <v>268</v>
      </c>
      <c r="D594" s="168">
        <v>94</v>
      </c>
      <c r="E594" s="168">
        <v>31</v>
      </c>
    </row>
    <row r="595" spans="1:5" ht="12.75">
      <c r="A595" s="167" t="s">
        <v>269</v>
      </c>
      <c r="B595" s="168">
        <v>371</v>
      </c>
      <c r="C595" s="167" t="s">
        <v>268</v>
      </c>
      <c r="D595" s="168">
        <v>19</v>
      </c>
      <c r="E595" s="168">
        <v>14</v>
      </c>
    </row>
    <row r="596" spans="1:5" ht="12.75">
      <c r="A596" s="167" t="s">
        <v>270</v>
      </c>
      <c r="B596" s="168">
        <v>371</v>
      </c>
      <c r="C596" s="167" t="s">
        <v>268</v>
      </c>
      <c r="D596" s="168">
        <v>92</v>
      </c>
      <c r="E596" s="168">
        <v>7</v>
      </c>
    </row>
    <row r="597" spans="1:5" ht="12.75">
      <c r="A597" s="167" t="s">
        <v>271</v>
      </c>
      <c r="B597" s="168">
        <v>371</v>
      </c>
      <c r="C597" s="167" t="s">
        <v>268</v>
      </c>
      <c r="D597" s="168">
        <v>6</v>
      </c>
      <c r="E597" s="168">
        <v>24</v>
      </c>
    </row>
    <row r="598" spans="1:5" ht="12.75">
      <c r="A598" s="167" t="s">
        <v>272</v>
      </c>
      <c r="B598" s="168">
        <v>371</v>
      </c>
      <c r="C598" s="167" t="s">
        <v>268</v>
      </c>
      <c r="D598" s="168">
        <v>93</v>
      </c>
      <c r="E598" s="168">
        <v>28</v>
      </c>
    </row>
    <row r="599" spans="1:5" ht="12.75">
      <c r="A599" s="167" t="s">
        <v>273</v>
      </c>
      <c r="B599" s="168">
        <v>371</v>
      </c>
      <c r="C599" s="167" t="s">
        <v>268</v>
      </c>
      <c r="D599" s="168">
        <v>60</v>
      </c>
      <c r="E599" s="168">
        <v>13</v>
      </c>
    </row>
    <row r="600" spans="1:5" ht="12.75">
      <c r="A600" s="167" t="s">
        <v>274</v>
      </c>
      <c r="B600" s="168">
        <v>371</v>
      </c>
      <c r="C600" s="167" t="s">
        <v>268</v>
      </c>
      <c r="D600" s="168">
        <v>10</v>
      </c>
      <c r="E600" s="168">
        <v>12</v>
      </c>
    </row>
    <row r="601" spans="1:5" ht="12.75">
      <c r="A601" s="167" t="s">
        <v>275</v>
      </c>
      <c r="B601" s="168">
        <v>371</v>
      </c>
      <c r="C601" s="167" t="s">
        <v>268</v>
      </c>
      <c r="D601" s="168">
        <v>25</v>
      </c>
      <c r="E601" s="168">
        <v>9</v>
      </c>
    </row>
    <row r="602" spans="1:5" ht="12.75">
      <c r="A602" s="167" t="s">
        <v>276</v>
      </c>
      <c r="B602" s="168">
        <v>371</v>
      </c>
      <c r="C602" s="167" t="s">
        <v>268</v>
      </c>
      <c r="D602" s="168">
        <v>105</v>
      </c>
      <c r="E602" s="168">
        <v>35</v>
      </c>
    </row>
    <row r="603" spans="1:5" ht="12.75">
      <c r="A603" s="167" t="s">
        <v>277</v>
      </c>
      <c r="B603" s="168">
        <v>371</v>
      </c>
      <c r="C603" s="167" t="s">
        <v>268</v>
      </c>
      <c r="D603" s="168">
        <v>98</v>
      </c>
      <c r="E603" s="168">
        <v>20</v>
      </c>
    </row>
    <row r="604" spans="1:5" ht="12.75">
      <c r="A604" s="167" t="s">
        <v>199</v>
      </c>
      <c r="B604" s="168">
        <v>371</v>
      </c>
      <c r="C604" s="167" t="s">
        <v>268</v>
      </c>
      <c r="D604" s="168">
        <v>5</v>
      </c>
      <c r="E604" s="168" t="s">
        <v>1083</v>
      </c>
    </row>
    <row r="605" spans="1:5" ht="12.75">
      <c r="A605" s="167" t="s">
        <v>278</v>
      </c>
      <c r="B605" s="168">
        <v>371</v>
      </c>
      <c r="C605" s="167" t="s">
        <v>268</v>
      </c>
      <c r="D605" s="168">
        <v>77</v>
      </c>
      <c r="E605" s="168">
        <v>36</v>
      </c>
    </row>
    <row r="606" spans="1:5" ht="12.75">
      <c r="A606" s="167" t="s">
        <v>279</v>
      </c>
      <c r="B606" s="168">
        <v>371</v>
      </c>
      <c r="C606" s="167" t="s">
        <v>268</v>
      </c>
      <c r="D606" s="168">
        <v>26</v>
      </c>
      <c r="E606" s="168">
        <v>11</v>
      </c>
    </row>
    <row r="607" spans="1:5" ht="12.75">
      <c r="A607" s="167" t="s">
        <v>280</v>
      </c>
      <c r="B607" s="168">
        <v>371</v>
      </c>
      <c r="C607" s="167" t="s">
        <v>268</v>
      </c>
      <c r="D607" s="168">
        <v>57</v>
      </c>
      <c r="E607" s="168">
        <v>23</v>
      </c>
    </row>
    <row r="608" spans="1:5" ht="12.75">
      <c r="A608" s="167" t="s">
        <v>281</v>
      </c>
      <c r="B608" s="168">
        <v>371</v>
      </c>
      <c r="C608" s="167" t="s">
        <v>268</v>
      </c>
      <c r="D608" s="168">
        <v>78</v>
      </c>
      <c r="E608" s="168">
        <v>8</v>
      </c>
    </row>
    <row r="609" spans="1:5" ht="12.75">
      <c r="A609" s="167" t="s">
        <v>282</v>
      </c>
      <c r="B609" s="168">
        <v>371</v>
      </c>
      <c r="C609" s="167" t="s">
        <v>268</v>
      </c>
      <c r="D609" s="168">
        <v>28</v>
      </c>
      <c r="E609" s="168">
        <v>32</v>
      </c>
    </row>
    <row r="610" spans="1:5" ht="12.75">
      <c r="A610" s="167" t="s">
        <v>283</v>
      </c>
      <c r="B610" s="168">
        <v>371</v>
      </c>
      <c r="C610" s="167" t="s">
        <v>268</v>
      </c>
      <c r="D610" s="168">
        <v>79</v>
      </c>
      <c r="E610" s="168">
        <v>22</v>
      </c>
    </row>
    <row r="611" spans="1:5" ht="12.75">
      <c r="A611" s="167" t="s">
        <v>284</v>
      </c>
      <c r="B611" s="168">
        <v>371</v>
      </c>
      <c r="C611" s="167" t="s">
        <v>268</v>
      </c>
      <c r="D611" s="168">
        <v>59</v>
      </c>
      <c r="E611" s="168">
        <v>3</v>
      </c>
    </row>
    <row r="612" spans="1:5" ht="12.75">
      <c r="A612" s="167" t="s">
        <v>285</v>
      </c>
      <c r="B612" s="168">
        <v>371</v>
      </c>
      <c r="C612" s="167" t="s">
        <v>268</v>
      </c>
      <c r="D612" s="168">
        <v>3</v>
      </c>
      <c r="E612" s="168">
        <v>21</v>
      </c>
    </row>
    <row r="613" spans="1:5" ht="12.75">
      <c r="A613" s="167" t="s">
        <v>214</v>
      </c>
      <c r="B613" s="168">
        <v>371</v>
      </c>
      <c r="C613" s="167" t="s">
        <v>268</v>
      </c>
      <c r="D613" s="168">
        <v>58</v>
      </c>
      <c r="E613" s="168" t="s">
        <v>1083</v>
      </c>
    </row>
    <row r="614" spans="1:5" ht="12.75">
      <c r="A614" s="167" t="s">
        <v>286</v>
      </c>
      <c r="B614" s="168">
        <v>371</v>
      </c>
      <c r="C614" s="167" t="s">
        <v>268</v>
      </c>
      <c r="D614" s="168">
        <v>48</v>
      </c>
      <c r="E614" s="168">
        <v>4</v>
      </c>
    </row>
    <row r="615" spans="1:5" ht="12.75">
      <c r="A615" s="167" t="s">
        <v>287</v>
      </c>
      <c r="B615" s="168">
        <v>371</v>
      </c>
      <c r="C615" s="167" t="s">
        <v>268</v>
      </c>
      <c r="D615" s="168">
        <v>17</v>
      </c>
      <c r="E615" s="168">
        <v>2</v>
      </c>
    </row>
    <row r="616" spans="1:5" ht="12.75">
      <c r="A616" s="167" t="s">
        <v>288</v>
      </c>
      <c r="B616" s="168">
        <v>371</v>
      </c>
      <c r="C616" s="167" t="s">
        <v>268</v>
      </c>
      <c r="D616" s="168">
        <v>12</v>
      </c>
      <c r="E616" s="168">
        <v>16</v>
      </c>
    </row>
    <row r="617" spans="1:5" ht="12.75">
      <c r="A617" s="167" t="s">
        <v>289</v>
      </c>
      <c r="B617" s="168">
        <v>371</v>
      </c>
      <c r="C617" s="167" t="s">
        <v>268</v>
      </c>
      <c r="D617" s="168">
        <v>65</v>
      </c>
      <c r="E617" s="168">
        <v>33</v>
      </c>
    </row>
    <row r="618" spans="1:5" ht="12.75">
      <c r="A618" s="167" t="s">
        <v>290</v>
      </c>
      <c r="B618" s="168">
        <v>371</v>
      </c>
      <c r="C618" s="167" t="s">
        <v>268</v>
      </c>
      <c r="D618" s="168">
        <v>91</v>
      </c>
      <c r="E618" s="168">
        <v>1</v>
      </c>
    </row>
    <row r="619" spans="1:5" ht="12.75">
      <c r="A619" s="167" t="s">
        <v>291</v>
      </c>
      <c r="B619" s="168">
        <v>371</v>
      </c>
      <c r="C619" s="167" t="s">
        <v>268</v>
      </c>
      <c r="D619" s="168">
        <v>9</v>
      </c>
      <c r="E619" s="168">
        <v>5</v>
      </c>
    </row>
    <row r="620" spans="1:5" ht="12.75">
      <c r="A620" s="167" t="s">
        <v>292</v>
      </c>
      <c r="B620" s="168">
        <v>371</v>
      </c>
      <c r="C620" s="167" t="s">
        <v>268</v>
      </c>
      <c r="D620" s="168">
        <v>97</v>
      </c>
      <c r="E620" s="168">
        <v>26</v>
      </c>
    </row>
    <row r="621" spans="1:5" ht="12.75">
      <c r="A621" s="167" t="s">
        <v>293</v>
      </c>
      <c r="B621" s="168">
        <v>371</v>
      </c>
      <c r="C621" s="167" t="s">
        <v>268</v>
      </c>
      <c r="D621" s="168">
        <v>67</v>
      </c>
      <c r="E621" s="168">
        <v>19</v>
      </c>
    </row>
    <row r="622" spans="1:5" ht="12.75">
      <c r="A622" s="167" t="s">
        <v>294</v>
      </c>
      <c r="B622" s="168">
        <v>371</v>
      </c>
      <c r="C622" s="167" t="s">
        <v>268</v>
      </c>
      <c r="D622" s="168">
        <v>106</v>
      </c>
      <c r="E622" s="168">
        <v>34</v>
      </c>
    </row>
    <row r="623" spans="1:5" ht="12.75">
      <c r="A623" s="167" t="s">
        <v>295</v>
      </c>
      <c r="B623" s="168">
        <v>371</v>
      </c>
      <c r="C623" s="167" t="s">
        <v>268</v>
      </c>
      <c r="D623" s="168">
        <v>82</v>
      </c>
      <c r="E623" s="168">
        <v>15</v>
      </c>
    </row>
    <row r="624" spans="1:5" ht="12.75">
      <c r="A624" s="167" t="s">
        <v>296</v>
      </c>
      <c r="B624" s="168">
        <v>371</v>
      </c>
      <c r="C624" s="167" t="s">
        <v>268</v>
      </c>
      <c r="D624" s="168">
        <v>102</v>
      </c>
      <c r="E624" s="168">
        <v>30</v>
      </c>
    </row>
    <row r="625" spans="1:5" ht="12.75">
      <c r="A625" s="167" t="s">
        <v>297</v>
      </c>
      <c r="B625" s="168">
        <v>371</v>
      </c>
      <c r="C625" s="167" t="s">
        <v>268</v>
      </c>
      <c r="D625" s="168">
        <v>107</v>
      </c>
      <c r="E625" s="168">
        <v>6</v>
      </c>
    </row>
    <row r="626" spans="1:5" ht="12.75">
      <c r="A626" s="167" t="s">
        <v>298</v>
      </c>
      <c r="B626" s="168">
        <v>371</v>
      </c>
      <c r="C626" s="167" t="s">
        <v>268</v>
      </c>
      <c r="D626" s="168">
        <v>83</v>
      </c>
      <c r="E626" s="168">
        <v>18</v>
      </c>
    </row>
    <row r="627" spans="1:5" ht="12.75">
      <c r="A627" s="167" t="s">
        <v>299</v>
      </c>
      <c r="B627" s="168">
        <v>371</v>
      </c>
      <c r="C627" s="167" t="s">
        <v>268</v>
      </c>
      <c r="D627" s="168">
        <v>108</v>
      </c>
      <c r="E627" s="168">
        <v>10</v>
      </c>
    </row>
    <row r="628" spans="1:5" ht="12.75">
      <c r="A628" s="167" t="s">
        <v>300</v>
      </c>
      <c r="B628" s="168">
        <v>371</v>
      </c>
      <c r="C628" s="167" t="s">
        <v>268</v>
      </c>
      <c r="D628" s="168">
        <v>44</v>
      </c>
      <c r="E628" s="168">
        <v>17</v>
      </c>
    </row>
    <row r="629" spans="1:5" ht="12.75">
      <c r="A629" s="167" t="s">
        <v>301</v>
      </c>
      <c r="B629" s="168">
        <v>378</v>
      </c>
      <c r="C629" s="167" t="s">
        <v>302</v>
      </c>
      <c r="D629" s="168">
        <v>12</v>
      </c>
      <c r="E629" s="168">
        <v>4</v>
      </c>
    </row>
    <row r="630" spans="1:5" ht="12.75">
      <c r="A630" s="167" t="s">
        <v>303</v>
      </c>
      <c r="B630" s="168">
        <v>378</v>
      </c>
      <c r="C630" s="167" t="s">
        <v>302</v>
      </c>
      <c r="D630" s="168">
        <v>46</v>
      </c>
      <c r="E630" s="168">
        <v>5</v>
      </c>
    </row>
    <row r="631" spans="1:5" ht="12.75">
      <c r="A631" s="167" t="s">
        <v>304</v>
      </c>
      <c r="B631" s="168">
        <v>378</v>
      </c>
      <c r="C631" s="167" t="s">
        <v>302</v>
      </c>
      <c r="D631" s="168">
        <v>111</v>
      </c>
      <c r="E631" s="168" t="s">
        <v>1083</v>
      </c>
    </row>
    <row r="632" spans="1:5" ht="12.75">
      <c r="A632" s="167" t="s">
        <v>305</v>
      </c>
      <c r="B632" s="168">
        <v>378</v>
      </c>
      <c r="C632" s="167" t="s">
        <v>302</v>
      </c>
      <c r="D632" s="168">
        <v>99</v>
      </c>
      <c r="E632" s="168" t="s">
        <v>1083</v>
      </c>
    </row>
    <row r="633" spans="1:5" ht="12.75">
      <c r="A633" s="167" t="s">
        <v>306</v>
      </c>
      <c r="B633" s="168">
        <v>378</v>
      </c>
      <c r="C633" s="167" t="s">
        <v>302</v>
      </c>
      <c r="D633" s="168">
        <v>112</v>
      </c>
      <c r="E633" s="168">
        <v>11</v>
      </c>
    </row>
    <row r="634" spans="1:5" ht="12.75">
      <c r="A634" s="167" t="s">
        <v>307</v>
      </c>
      <c r="B634" s="168">
        <v>378</v>
      </c>
      <c r="C634" s="167" t="s">
        <v>302</v>
      </c>
      <c r="D634" s="168">
        <v>93</v>
      </c>
      <c r="E634" s="168">
        <v>22</v>
      </c>
    </row>
    <row r="635" spans="1:5" ht="12.75">
      <c r="A635" s="167" t="s">
        <v>308</v>
      </c>
      <c r="B635" s="168">
        <v>378</v>
      </c>
      <c r="C635" s="167" t="s">
        <v>302</v>
      </c>
      <c r="D635" s="168">
        <v>143</v>
      </c>
      <c r="E635" s="168" t="s">
        <v>1083</v>
      </c>
    </row>
    <row r="636" spans="1:5" ht="12.75">
      <c r="A636" s="167" t="s">
        <v>309</v>
      </c>
      <c r="B636" s="168">
        <v>378</v>
      </c>
      <c r="C636" s="167" t="s">
        <v>302</v>
      </c>
      <c r="D636" s="168">
        <v>84</v>
      </c>
      <c r="E636" s="168" t="s">
        <v>1083</v>
      </c>
    </row>
    <row r="637" spans="1:5" ht="12.75">
      <c r="A637" s="167" t="s">
        <v>310</v>
      </c>
      <c r="B637" s="168">
        <v>378</v>
      </c>
      <c r="C637" s="167" t="s">
        <v>302</v>
      </c>
      <c r="D637" s="168">
        <v>82</v>
      </c>
      <c r="E637" s="168" t="s">
        <v>1083</v>
      </c>
    </row>
    <row r="638" spans="1:5" ht="12.75">
      <c r="A638" s="167" t="s">
        <v>1684</v>
      </c>
      <c r="B638" s="168">
        <v>378</v>
      </c>
      <c r="C638" s="167" t="s">
        <v>302</v>
      </c>
      <c r="D638" s="168">
        <v>102</v>
      </c>
      <c r="E638" s="168">
        <v>10</v>
      </c>
    </row>
    <row r="639" spans="1:5" ht="12.75">
      <c r="A639" s="167" t="s">
        <v>311</v>
      </c>
      <c r="B639" s="168">
        <v>378</v>
      </c>
      <c r="C639" s="167" t="s">
        <v>302</v>
      </c>
      <c r="D639" s="168">
        <v>105</v>
      </c>
      <c r="E639" s="168" t="s">
        <v>1083</v>
      </c>
    </row>
    <row r="640" spans="1:5" ht="12.75">
      <c r="A640" s="167" t="s">
        <v>312</v>
      </c>
      <c r="B640" s="168">
        <v>378</v>
      </c>
      <c r="C640" s="167" t="s">
        <v>302</v>
      </c>
      <c r="D640" s="168">
        <v>85</v>
      </c>
      <c r="E640" s="168" t="s">
        <v>1083</v>
      </c>
    </row>
    <row r="641" spans="1:5" ht="12.75">
      <c r="A641" s="167" t="s">
        <v>313</v>
      </c>
      <c r="B641" s="168">
        <v>378</v>
      </c>
      <c r="C641" s="167" t="s">
        <v>302</v>
      </c>
      <c r="D641" s="168">
        <v>161</v>
      </c>
      <c r="E641" s="168" t="s">
        <v>1083</v>
      </c>
    </row>
    <row r="642" spans="1:5" ht="12.75">
      <c r="A642" s="167" t="s">
        <v>314</v>
      </c>
      <c r="B642" s="168">
        <v>378</v>
      </c>
      <c r="C642" s="167" t="s">
        <v>302</v>
      </c>
      <c r="D642" s="168">
        <v>60</v>
      </c>
      <c r="E642" s="168">
        <v>2</v>
      </c>
    </row>
    <row r="643" spans="1:5" ht="12.75">
      <c r="A643" s="167" t="s">
        <v>315</v>
      </c>
      <c r="B643" s="168">
        <v>378</v>
      </c>
      <c r="C643" s="167" t="s">
        <v>302</v>
      </c>
      <c r="D643" s="168">
        <v>107</v>
      </c>
      <c r="E643" s="168" t="s">
        <v>1083</v>
      </c>
    </row>
    <row r="644" spans="1:5" ht="12.75">
      <c r="A644" s="167" t="s">
        <v>316</v>
      </c>
      <c r="B644" s="168">
        <v>378</v>
      </c>
      <c r="C644" s="167" t="s">
        <v>302</v>
      </c>
      <c r="D644" s="168">
        <v>76</v>
      </c>
      <c r="E644" s="168" t="s">
        <v>1083</v>
      </c>
    </row>
    <row r="645" spans="1:5" ht="12.75">
      <c r="A645" s="167" t="s">
        <v>317</v>
      </c>
      <c r="B645" s="168">
        <v>378</v>
      </c>
      <c r="C645" s="167" t="s">
        <v>302</v>
      </c>
      <c r="D645" s="168">
        <v>71</v>
      </c>
      <c r="E645" s="168" t="s">
        <v>1083</v>
      </c>
    </row>
    <row r="646" spans="1:5" ht="12.75">
      <c r="A646" s="167" t="s">
        <v>318</v>
      </c>
      <c r="B646" s="168">
        <v>378</v>
      </c>
      <c r="C646" s="167" t="s">
        <v>302</v>
      </c>
      <c r="D646" s="168">
        <v>31</v>
      </c>
      <c r="E646" s="168" t="s">
        <v>1083</v>
      </c>
    </row>
    <row r="647" spans="1:5" ht="12.75">
      <c r="A647" s="167" t="s">
        <v>319</v>
      </c>
      <c r="B647" s="168">
        <v>378</v>
      </c>
      <c r="C647" s="167" t="s">
        <v>302</v>
      </c>
      <c r="D647" s="168">
        <v>123</v>
      </c>
      <c r="E647" s="168" t="s">
        <v>1083</v>
      </c>
    </row>
    <row r="648" spans="1:5" ht="12.75">
      <c r="A648" s="167" t="s">
        <v>320</v>
      </c>
      <c r="B648" s="168">
        <v>378</v>
      </c>
      <c r="C648" s="167" t="s">
        <v>302</v>
      </c>
      <c r="D648" s="168">
        <v>113</v>
      </c>
      <c r="E648" s="168" t="s">
        <v>1083</v>
      </c>
    </row>
    <row r="649" spans="1:5" ht="12.75">
      <c r="A649" s="167" t="s">
        <v>321</v>
      </c>
      <c r="B649" s="168">
        <v>378</v>
      </c>
      <c r="C649" s="167" t="s">
        <v>302</v>
      </c>
      <c r="D649" s="168">
        <v>142</v>
      </c>
      <c r="E649" s="168" t="s">
        <v>1083</v>
      </c>
    </row>
    <row r="650" spans="1:5" ht="12.75">
      <c r="A650" s="167" t="s">
        <v>322</v>
      </c>
      <c r="B650" s="168">
        <v>378</v>
      </c>
      <c r="C650" s="167" t="s">
        <v>302</v>
      </c>
      <c r="D650" s="168">
        <v>125</v>
      </c>
      <c r="E650" s="168" t="s">
        <v>1083</v>
      </c>
    </row>
    <row r="651" spans="1:5" ht="12.75">
      <c r="A651" s="167" t="s">
        <v>323</v>
      </c>
      <c r="B651" s="168">
        <v>378</v>
      </c>
      <c r="C651" s="167" t="s">
        <v>302</v>
      </c>
      <c r="D651" s="168">
        <v>126</v>
      </c>
      <c r="E651" s="168" t="s">
        <v>1083</v>
      </c>
    </row>
    <row r="652" spans="1:5" ht="12.75">
      <c r="A652" s="167" t="s">
        <v>324</v>
      </c>
      <c r="B652" s="168">
        <v>378</v>
      </c>
      <c r="C652" s="167" t="s">
        <v>302</v>
      </c>
      <c r="D652" s="168">
        <v>100</v>
      </c>
      <c r="E652" s="168">
        <v>7</v>
      </c>
    </row>
    <row r="653" spans="1:5" ht="12.75">
      <c r="A653" s="167" t="s">
        <v>325</v>
      </c>
      <c r="B653" s="168">
        <v>378</v>
      </c>
      <c r="C653" s="167" t="s">
        <v>302</v>
      </c>
      <c r="D653" s="168">
        <v>131</v>
      </c>
      <c r="E653" s="168" t="s">
        <v>1083</v>
      </c>
    </row>
    <row r="654" spans="1:5" ht="12.75">
      <c r="A654" s="167" t="s">
        <v>326</v>
      </c>
      <c r="B654" s="168">
        <v>378</v>
      </c>
      <c r="C654" s="167" t="s">
        <v>302</v>
      </c>
      <c r="D654" s="168">
        <v>49</v>
      </c>
      <c r="E654" s="168" t="s">
        <v>1083</v>
      </c>
    </row>
    <row r="655" spans="1:5" ht="12.75">
      <c r="A655" s="167" t="s">
        <v>327</v>
      </c>
      <c r="B655" s="168">
        <v>378</v>
      </c>
      <c r="C655" s="167" t="s">
        <v>302</v>
      </c>
      <c r="D655" s="168">
        <v>114</v>
      </c>
      <c r="E655" s="168">
        <v>23</v>
      </c>
    </row>
    <row r="656" spans="1:5" ht="12.75">
      <c r="A656" s="167" t="s">
        <v>1689</v>
      </c>
      <c r="B656" s="168">
        <v>378</v>
      </c>
      <c r="C656" s="167" t="s">
        <v>302</v>
      </c>
      <c r="D656" s="168">
        <v>160</v>
      </c>
      <c r="E656" s="168" t="s">
        <v>1083</v>
      </c>
    </row>
    <row r="657" spans="1:5" ht="12.75">
      <c r="A657" s="167" t="s">
        <v>1690</v>
      </c>
      <c r="B657" s="168">
        <v>378</v>
      </c>
      <c r="C657" s="167" t="s">
        <v>302</v>
      </c>
      <c r="D657" s="168">
        <v>115</v>
      </c>
      <c r="E657" s="168">
        <v>9</v>
      </c>
    </row>
    <row r="658" spans="1:5" ht="12.75">
      <c r="A658" s="167" t="s">
        <v>328</v>
      </c>
      <c r="B658" s="168">
        <v>378</v>
      </c>
      <c r="C658" s="167" t="s">
        <v>302</v>
      </c>
      <c r="D658" s="168">
        <v>128</v>
      </c>
      <c r="E658" s="168">
        <v>18</v>
      </c>
    </row>
    <row r="659" spans="1:5" ht="12.75">
      <c r="A659" s="167" t="s">
        <v>329</v>
      </c>
      <c r="B659" s="168">
        <v>378</v>
      </c>
      <c r="C659" s="167" t="s">
        <v>302</v>
      </c>
      <c r="D659" s="168">
        <v>134</v>
      </c>
      <c r="E659" s="168">
        <v>13</v>
      </c>
    </row>
    <row r="660" spans="1:5" ht="12.75">
      <c r="A660" s="167" t="s">
        <v>330</v>
      </c>
      <c r="B660" s="168">
        <v>378</v>
      </c>
      <c r="C660" s="167" t="s">
        <v>302</v>
      </c>
      <c r="D660" s="168">
        <v>162</v>
      </c>
      <c r="E660" s="168" t="s">
        <v>1083</v>
      </c>
    </row>
    <row r="661" spans="1:5" ht="12.75">
      <c r="A661" s="167" t="s">
        <v>331</v>
      </c>
      <c r="B661" s="168">
        <v>378</v>
      </c>
      <c r="C661" s="167" t="s">
        <v>302</v>
      </c>
      <c r="D661" s="168">
        <v>116</v>
      </c>
      <c r="E661" s="168" t="s">
        <v>1083</v>
      </c>
    </row>
    <row r="662" spans="1:5" ht="12.75">
      <c r="A662" s="167" t="s">
        <v>332</v>
      </c>
      <c r="B662" s="168">
        <v>378</v>
      </c>
      <c r="C662" s="167" t="s">
        <v>302</v>
      </c>
      <c r="D662" s="168">
        <v>40</v>
      </c>
      <c r="E662" s="168">
        <v>16</v>
      </c>
    </row>
    <row r="663" spans="1:5" ht="12.75">
      <c r="A663" s="167" t="s">
        <v>333</v>
      </c>
      <c r="B663" s="168">
        <v>378</v>
      </c>
      <c r="C663" s="167" t="s">
        <v>302</v>
      </c>
      <c r="D663" s="168">
        <v>108</v>
      </c>
      <c r="E663" s="168" t="s">
        <v>1083</v>
      </c>
    </row>
    <row r="664" spans="1:5" ht="12.75">
      <c r="A664" s="167" t="s">
        <v>334</v>
      </c>
      <c r="B664" s="168">
        <v>378</v>
      </c>
      <c r="C664" s="167" t="s">
        <v>302</v>
      </c>
      <c r="D664" s="168">
        <v>144</v>
      </c>
      <c r="E664" s="168">
        <v>26</v>
      </c>
    </row>
    <row r="665" spans="1:5" ht="12.75">
      <c r="A665" s="167" t="s">
        <v>335</v>
      </c>
      <c r="B665" s="168">
        <v>378</v>
      </c>
      <c r="C665" s="167" t="s">
        <v>302</v>
      </c>
      <c r="D665" s="168">
        <v>13</v>
      </c>
      <c r="E665" s="168" t="s">
        <v>1083</v>
      </c>
    </row>
    <row r="666" spans="1:5" ht="12.75">
      <c r="A666" s="167" t="s">
        <v>336</v>
      </c>
      <c r="B666" s="168">
        <v>378</v>
      </c>
      <c r="C666" s="167" t="s">
        <v>302</v>
      </c>
      <c r="D666" s="168">
        <v>90</v>
      </c>
      <c r="E666" s="168" t="s">
        <v>1083</v>
      </c>
    </row>
    <row r="667" spans="1:5" ht="12.75">
      <c r="A667" s="167" t="s">
        <v>337</v>
      </c>
      <c r="B667" s="168">
        <v>378</v>
      </c>
      <c r="C667" s="167" t="s">
        <v>302</v>
      </c>
      <c r="D667" s="168">
        <v>73</v>
      </c>
      <c r="E667" s="168" t="s">
        <v>1083</v>
      </c>
    </row>
    <row r="668" spans="1:5" ht="12.75">
      <c r="A668" s="167" t="s">
        <v>338</v>
      </c>
      <c r="B668" s="168">
        <v>378</v>
      </c>
      <c r="C668" s="167" t="s">
        <v>302</v>
      </c>
      <c r="D668" s="168">
        <v>109</v>
      </c>
      <c r="E668" s="168">
        <v>25</v>
      </c>
    </row>
    <row r="669" spans="1:5" ht="12.75">
      <c r="A669" s="167" t="s">
        <v>339</v>
      </c>
      <c r="B669" s="168">
        <v>378</v>
      </c>
      <c r="C669" s="167" t="s">
        <v>302</v>
      </c>
      <c r="D669" s="168">
        <v>163</v>
      </c>
      <c r="E669" s="168" t="s">
        <v>1083</v>
      </c>
    </row>
    <row r="670" spans="1:5" ht="12.75">
      <c r="A670" s="167" t="s">
        <v>340</v>
      </c>
      <c r="B670" s="168">
        <v>378</v>
      </c>
      <c r="C670" s="167" t="s">
        <v>302</v>
      </c>
      <c r="D670" s="168">
        <v>62</v>
      </c>
      <c r="E670" s="168" t="s">
        <v>1083</v>
      </c>
    </row>
    <row r="671" spans="1:5" ht="12.75">
      <c r="A671" s="167" t="s">
        <v>341</v>
      </c>
      <c r="B671" s="168">
        <v>378</v>
      </c>
      <c r="C671" s="167" t="s">
        <v>302</v>
      </c>
      <c r="D671" s="168">
        <v>117</v>
      </c>
      <c r="E671" s="168">
        <v>24</v>
      </c>
    </row>
    <row r="672" spans="1:5" ht="12.75">
      <c r="A672" s="167" t="s">
        <v>342</v>
      </c>
      <c r="B672" s="168">
        <v>378</v>
      </c>
      <c r="C672" s="167" t="s">
        <v>302</v>
      </c>
      <c r="D672" s="168">
        <v>4</v>
      </c>
      <c r="E672" s="168">
        <v>1</v>
      </c>
    </row>
    <row r="673" spans="1:5" ht="12.75">
      <c r="A673" s="167" t="s">
        <v>343</v>
      </c>
      <c r="B673" s="168">
        <v>378</v>
      </c>
      <c r="C673" s="167" t="s">
        <v>302</v>
      </c>
      <c r="D673" s="168">
        <v>127</v>
      </c>
      <c r="E673" s="168" t="s">
        <v>1083</v>
      </c>
    </row>
    <row r="674" spans="1:5" ht="12.75">
      <c r="A674" s="167" t="s">
        <v>344</v>
      </c>
      <c r="B674" s="168">
        <v>378</v>
      </c>
      <c r="C674" s="167" t="s">
        <v>302</v>
      </c>
      <c r="D674" s="168">
        <v>34</v>
      </c>
      <c r="E674" s="168">
        <v>8</v>
      </c>
    </row>
    <row r="675" spans="1:5" ht="12.75">
      <c r="A675" s="167" t="s">
        <v>345</v>
      </c>
      <c r="B675" s="168">
        <v>378</v>
      </c>
      <c r="C675" s="167" t="s">
        <v>302</v>
      </c>
      <c r="D675" s="168">
        <v>61</v>
      </c>
      <c r="E675" s="168" t="s">
        <v>1083</v>
      </c>
    </row>
    <row r="676" spans="1:5" ht="12.75">
      <c r="A676" s="167" t="s">
        <v>180</v>
      </c>
      <c r="B676" s="168">
        <v>378</v>
      </c>
      <c r="C676" s="167" t="s">
        <v>302</v>
      </c>
      <c r="D676" s="168">
        <v>137</v>
      </c>
      <c r="E676" s="168">
        <v>19</v>
      </c>
    </row>
    <row r="677" spans="1:5" ht="12.75">
      <c r="A677" s="167" t="s">
        <v>346</v>
      </c>
      <c r="B677" s="168">
        <v>378</v>
      </c>
      <c r="C677" s="167" t="s">
        <v>302</v>
      </c>
      <c r="D677" s="168">
        <v>26</v>
      </c>
      <c r="E677" s="168" t="s">
        <v>1083</v>
      </c>
    </row>
    <row r="678" spans="1:5" ht="12.75">
      <c r="A678" s="167" t="s">
        <v>347</v>
      </c>
      <c r="B678" s="168">
        <v>378</v>
      </c>
      <c r="C678" s="167" t="s">
        <v>302</v>
      </c>
      <c r="D678" s="168">
        <v>106</v>
      </c>
      <c r="E678" s="168">
        <v>6</v>
      </c>
    </row>
    <row r="679" spans="1:5" ht="12.75">
      <c r="A679" s="167" t="s">
        <v>348</v>
      </c>
      <c r="B679" s="168">
        <v>378</v>
      </c>
      <c r="C679" s="167" t="s">
        <v>302</v>
      </c>
      <c r="D679" s="168">
        <v>118</v>
      </c>
      <c r="E679" s="168" t="s">
        <v>1083</v>
      </c>
    </row>
    <row r="680" spans="1:5" ht="12.75">
      <c r="A680" s="167" t="s">
        <v>349</v>
      </c>
      <c r="B680" s="168">
        <v>378</v>
      </c>
      <c r="C680" s="167" t="s">
        <v>302</v>
      </c>
      <c r="D680" s="168">
        <v>69</v>
      </c>
      <c r="E680" s="168" t="s">
        <v>1083</v>
      </c>
    </row>
    <row r="681" spans="1:5" ht="12.75">
      <c r="A681" s="167" t="s">
        <v>350</v>
      </c>
      <c r="B681" s="168">
        <v>378</v>
      </c>
      <c r="C681" s="167" t="s">
        <v>302</v>
      </c>
      <c r="D681" s="168">
        <v>74</v>
      </c>
      <c r="E681" s="168" t="s">
        <v>1083</v>
      </c>
    </row>
    <row r="682" spans="1:5" ht="12.75">
      <c r="A682" s="167" t="s">
        <v>351</v>
      </c>
      <c r="B682" s="168">
        <v>378</v>
      </c>
      <c r="C682" s="167" t="s">
        <v>302</v>
      </c>
      <c r="D682" s="168">
        <v>132</v>
      </c>
      <c r="E682" s="168">
        <v>17</v>
      </c>
    </row>
    <row r="683" spans="1:5" ht="12.75">
      <c r="A683" s="167" t="s">
        <v>352</v>
      </c>
      <c r="B683" s="168">
        <v>378</v>
      </c>
      <c r="C683" s="167" t="s">
        <v>302</v>
      </c>
      <c r="D683" s="168">
        <v>164</v>
      </c>
      <c r="E683" s="168" t="s">
        <v>1083</v>
      </c>
    </row>
    <row r="684" spans="1:5" ht="12.75">
      <c r="A684" s="167" t="s">
        <v>353</v>
      </c>
      <c r="B684" s="168">
        <v>378</v>
      </c>
      <c r="C684" s="167" t="s">
        <v>302</v>
      </c>
      <c r="D684" s="168">
        <v>32</v>
      </c>
      <c r="E684" s="168">
        <v>12</v>
      </c>
    </row>
    <row r="685" spans="1:5" ht="12.75">
      <c r="A685" s="167" t="s">
        <v>354</v>
      </c>
      <c r="B685" s="168">
        <v>378</v>
      </c>
      <c r="C685" s="167" t="s">
        <v>302</v>
      </c>
      <c r="D685" s="168">
        <v>57</v>
      </c>
      <c r="E685" s="168">
        <v>14</v>
      </c>
    </row>
    <row r="686" spans="1:5" ht="12.75">
      <c r="A686" s="167" t="s">
        <v>355</v>
      </c>
      <c r="B686" s="168">
        <v>378</v>
      </c>
      <c r="C686" s="167" t="s">
        <v>302</v>
      </c>
      <c r="D686" s="168">
        <v>59</v>
      </c>
      <c r="E686" s="168">
        <v>3</v>
      </c>
    </row>
    <row r="687" spans="1:5" ht="12.75">
      <c r="A687" s="167" t="s">
        <v>356</v>
      </c>
      <c r="B687" s="168">
        <v>378</v>
      </c>
      <c r="C687" s="167" t="s">
        <v>302</v>
      </c>
      <c r="D687" s="168">
        <v>119</v>
      </c>
      <c r="E687" s="168" t="s">
        <v>1083</v>
      </c>
    </row>
    <row r="688" spans="1:5" ht="12.75">
      <c r="A688" s="167" t="s">
        <v>357</v>
      </c>
      <c r="B688" s="168">
        <v>378</v>
      </c>
      <c r="C688" s="167" t="s">
        <v>302</v>
      </c>
      <c r="D688" s="168">
        <v>136</v>
      </c>
      <c r="E688" s="168" t="s">
        <v>1083</v>
      </c>
    </row>
    <row r="689" spans="1:5" ht="12.75">
      <c r="A689" s="167" t="s">
        <v>358</v>
      </c>
      <c r="B689" s="168">
        <v>384</v>
      </c>
      <c r="C689" s="167" t="s">
        <v>359</v>
      </c>
      <c r="D689" s="168">
        <v>39</v>
      </c>
      <c r="E689" s="168">
        <v>7</v>
      </c>
    </row>
    <row r="690" spans="1:5" ht="12.75">
      <c r="A690" s="167" t="s">
        <v>360</v>
      </c>
      <c r="B690" s="168">
        <v>384</v>
      </c>
      <c r="C690" s="167" t="s">
        <v>359</v>
      </c>
      <c r="D690" s="168">
        <v>1</v>
      </c>
      <c r="E690" s="168" t="s">
        <v>1083</v>
      </c>
    </row>
    <row r="691" spans="1:5" ht="12.75">
      <c r="A691" s="167" t="s">
        <v>361</v>
      </c>
      <c r="B691" s="168">
        <v>384</v>
      </c>
      <c r="C691" s="167" t="s">
        <v>359</v>
      </c>
      <c r="D691" s="168">
        <v>17</v>
      </c>
      <c r="E691" s="168">
        <v>10</v>
      </c>
    </row>
    <row r="692" spans="1:5" ht="12.75">
      <c r="A692" s="167" t="s">
        <v>362</v>
      </c>
      <c r="B692" s="168">
        <v>384</v>
      </c>
      <c r="C692" s="167" t="s">
        <v>359</v>
      </c>
      <c r="D692" s="168">
        <v>36</v>
      </c>
      <c r="E692" s="168">
        <v>3</v>
      </c>
    </row>
    <row r="693" spans="1:5" ht="12.75">
      <c r="A693" s="167" t="s">
        <v>363</v>
      </c>
      <c r="B693" s="168">
        <v>384</v>
      </c>
      <c r="C693" s="167" t="s">
        <v>359</v>
      </c>
      <c r="D693" s="168">
        <v>37</v>
      </c>
      <c r="E693" s="168">
        <v>6</v>
      </c>
    </row>
    <row r="694" spans="1:5" ht="12.75">
      <c r="A694" s="167" t="s">
        <v>364</v>
      </c>
      <c r="B694" s="168">
        <v>384</v>
      </c>
      <c r="C694" s="167" t="s">
        <v>359</v>
      </c>
      <c r="D694" s="168">
        <v>38</v>
      </c>
      <c r="E694" s="168">
        <v>4</v>
      </c>
    </row>
    <row r="695" spans="1:5" ht="12.75">
      <c r="A695" s="167" t="s">
        <v>365</v>
      </c>
      <c r="B695" s="168">
        <v>384</v>
      </c>
      <c r="C695" s="167" t="s">
        <v>359</v>
      </c>
      <c r="D695" s="168">
        <v>30</v>
      </c>
      <c r="E695" s="168" t="s">
        <v>1083</v>
      </c>
    </row>
    <row r="696" spans="1:5" ht="12.75">
      <c r="A696" s="167" t="s">
        <v>366</v>
      </c>
      <c r="B696" s="168">
        <v>384</v>
      </c>
      <c r="C696" s="167" t="s">
        <v>359</v>
      </c>
      <c r="D696" s="168">
        <v>7</v>
      </c>
      <c r="E696" s="168">
        <v>2</v>
      </c>
    </row>
    <row r="697" spans="1:5" ht="12.75">
      <c r="A697" s="167" t="s">
        <v>367</v>
      </c>
      <c r="B697" s="168">
        <v>384</v>
      </c>
      <c r="C697" s="167" t="s">
        <v>359</v>
      </c>
      <c r="D697" s="168">
        <v>35</v>
      </c>
      <c r="E697" s="168">
        <v>5</v>
      </c>
    </row>
    <row r="698" spans="1:5" ht="12.75">
      <c r="A698" s="167" t="s">
        <v>368</v>
      </c>
      <c r="B698" s="168">
        <v>384</v>
      </c>
      <c r="C698" s="167" t="s">
        <v>359</v>
      </c>
      <c r="D698" s="168">
        <v>29</v>
      </c>
      <c r="E698" s="168" t="s">
        <v>1083</v>
      </c>
    </row>
    <row r="699" spans="1:5" ht="12.75">
      <c r="A699" s="167" t="s">
        <v>369</v>
      </c>
      <c r="B699" s="168">
        <v>384</v>
      </c>
      <c r="C699" s="167" t="s">
        <v>359</v>
      </c>
      <c r="D699" s="168">
        <v>41</v>
      </c>
      <c r="E699" s="168">
        <v>8</v>
      </c>
    </row>
    <row r="700" spans="1:5" ht="12.75">
      <c r="A700" s="167" t="s">
        <v>370</v>
      </c>
      <c r="B700" s="168">
        <v>384</v>
      </c>
      <c r="C700" s="167" t="s">
        <v>359</v>
      </c>
      <c r="D700" s="168">
        <v>33</v>
      </c>
      <c r="E700" s="168" t="s">
        <v>1083</v>
      </c>
    </row>
    <row r="701" spans="1:5" ht="12.75">
      <c r="A701" s="167" t="s">
        <v>371</v>
      </c>
      <c r="B701" s="168">
        <v>384</v>
      </c>
      <c r="C701" s="167" t="s">
        <v>359</v>
      </c>
      <c r="D701" s="168">
        <v>40</v>
      </c>
      <c r="E701" s="168">
        <v>9</v>
      </c>
    </row>
    <row r="702" spans="1:5" ht="12.75">
      <c r="A702" s="167" t="s">
        <v>372</v>
      </c>
      <c r="B702" s="168">
        <v>384</v>
      </c>
      <c r="C702" s="167" t="s">
        <v>359</v>
      </c>
      <c r="D702" s="168">
        <v>34</v>
      </c>
      <c r="E702" s="168">
        <v>1</v>
      </c>
    </row>
    <row r="703" spans="1:5" ht="12.75">
      <c r="A703" s="167" t="s">
        <v>373</v>
      </c>
      <c r="B703" s="168">
        <v>384</v>
      </c>
      <c r="C703" s="167" t="s">
        <v>359</v>
      </c>
      <c r="D703" s="168">
        <v>13</v>
      </c>
      <c r="E703" s="168" t="s">
        <v>1083</v>
      </c>
    </row>
    <row r="704" spans="1:5" ht="12.75">
      <c r="A704" s="167" t="s">
        <v>374</v>
      </c>
      <c r="B704" s="168">
        <v>384</v>
      </c>
      <c r="C704" s="167" t="s">
        <v>359</v>
      </c>
      <c r="D704" s="168">
        <v>14</v>
      </c>
      <c r="E704" s="168" t="s">
        <v>1083</v>
      </c>
    </row>
    <row r="705" spans="1:5" ht="12.75">
      <c r="A705" s="167" t="s">
        <v>375</v>
      </c>
      <c r="B705" s="168">
        <v>435</v>
      </c>
      <c r="C705" s="167" t="s">
        <v>376</v>
      </c>
      <c r="D705" s="168">
        <v>8</v>
      </c>
      <c r="E705" s="168" t="s">
        <v>1083</v>
      </c>
    </row>
    <row r="706" spans="1:5" ht="12.75">
      <c r="A706" s="167" t="s">
        <v>377</v>
      </c>
      <c r="B706" s="168">
        <v>435</v>
      </c>
      <c r="C706" s="167" t="s">
        <v>376</v>
      </c>
      <c r="D706" s="168">
        <v>9</v>
      </c>
      <c r="E706" s="168">
        <v>1</v>
      </c>
    </row>
    <row r="707" spans="1:5" ht="12.75">
      <c r="A707" s="167" t="s">
        <v>378</v>
      </c>
      <c r="B707" s="168">
        <v>435</v>
      </c>
      <c r="C707" s="167" t="s">
        <v>376</v>
      </c>
      <c r="D707" s="168">
        <v>18</v>
      </c>
      <c r="E707" s="168">
        <v>4</v>
      </c>
    </row>
    <row r="708" spans="1:5" ht="12.75">
      <c r="A708" s="167" t="s">
        <v>379</v>
      </c>
      <c r="B708" s="168">
        <v>435</v>
      </c>
      <c r="C708" s="167" t="s">
        <v>376</v>
      </c>
      <c r="D708" s="168">
        <v>13</v>
      </c>
      <c r="E708" s="168">
        <v>2</v>
      </c>
    </row>
    <row r="709" spans="1:5" ht="12.75">
      <c r="A709" s="167" t="s">
        <v>380</v>
      </c>
      <c r="B709" s="168">
        <v>435</v>
      </c>
      <c r="C709" s="167" t="s">
        <v>376</v>
      </c>
      <c r="D709" s="168">
        <v>21</v>
      </c>
      <c r="E709" s="168" t="s">
        <v>1083</v>
      </c>
    </row>
    <row r="710" spans="1:5" ht="12.75">
      <c r="A710" s="167" t="s">
        <v>381</v>
      </c>
      <c r="B710" s="168">
        <v>435</v>
      </c>
      <c r="C710" s="167" t="s">
        <v>376</v>
      </c>
      <c r="D710" s="168">
        <v>20</v>
      </c>
      <c r="E710" s="168">
        <v>6</v>
      </c>
    </row>
    <row r="711" spans="1:5" ht="12.75">
      <c r="A711" s="167" t="s">
        <v>382</v>
      </c>
      <c r="B711" s="168">
        <v>435</v>
      </c>
      <c r="C711" s="167" t="s">
        <v>376</v>
      </c>
      <c r="D711" s="168">
        <v>3</v>
      </c>
      <c r="E711" s="168">
        <v>5</v>
      </c>
    </row>
    <row r="712" spans="1:5" ht="12.75">
      <c r="A712" s="167" t="s">
        <v>383</v>
      </c>
      <c r="B712" s="168">
        <v>435</v>
      </c>
      <c r="C712" s="167" t="s">
        <v>376</v>
      </c>
      <c r="D712" s="168">
        <v>17</v>
      </c>
      <c r="E712" s="168">
        <v>3</v>
      </c>
    </row>
    <row r="713" spans="1:5" ht="12.75">
      <c r="A713" s="167" t="s">
        <v>384</v>
      </c>
      <c r="B713" s="168">
        <v>435</v>
      </c>
      <c r="C713" s="167" t="s">
        <v>376</v>
      </c>
      <c r="D713" s="168">
        <v>16</v>
      </c>
      <c r="E713" s="168" t="s">
        <v>1083</v>
      </c>
    </row>
    <row r="714" spans="1:5" ht="12.75">
      <c r="A714" s="167" t="s">
        <v>385</v>
      </c>
      <c r="B714" s="168">
        <v>435</v>
      </c>
      <c r="C714" s="167" t="s">
        <v>376</v>
      </c>
      <c r="D714" s="168">
        <v>4</v>
      </c>
      <c r="E714" s="168" t="s">
        <v>1083</v>
      </c>
    </row>
    <row r="715" spans="1:5" ht="12.75">
      <c r="A715" s="167" t="s">
        <v>386</v>
      </c>
      <c r="B715" s="168">
        <v>436</v>
      </c>
      <c r="C715" s="167" t="s">
        <v>387</v>
      </c>
      <c r="D715" s="168">
        <v>32</v>
      </c>
      <c r="E715" s="168">
        <v>4</v>
      </c>
    </row>
    <row r="716" spans="1:5" ht="12.75">
      <c r="A716" s="167" t="s">
        <v>388</v>
      </c>
      <c r="B716" s="168">
        <v>436</v>
      </c>
      <c r="C716" s="167" t="s">
        <v>387</v>
      </c>
      <c r="D716" s="168">
        <v>33</v>
      </c>
      <c r="E716" s="168">
        <v>5</v>
      </c>
    </row>
    <row r="717" spans="1:5" ht="12.75">
      <c r="A717" s="167" t="s">
        <v>389</v>
      </c>
      <c r="B717" s="168">
        <v>436</v>
      </c>
      <c r="C717" s="167" t="s">
        <v>387</v>
      </c>
      <c r="D717" s="168">
        <v>46</v>
      </c>
      <c r="E717" s="168">
        <v>24</v>
      </c>
    </row>
    <row r="718" spans="1:5" ht="12.75">
      <c r="A718" s="167" t="s">
        <v>390</v>
      </c>
      <c r="B718" s="168">
        <v>436</v>
      </c>
      <c r="C718" s="167" t="s">
        <v>387</v>
      </c>
      <c r="D718" s="168">
        <v>59</v>
      </c>
      <c r="E718" s="168" t="s">
        <v>1083</v>
      </c>
    </row>
    <row r="719" spans="1:5" ht="12.75">
      <c r="A719" s="167" t="s">
        <v>391</v>
      </c>
      <c r="B719" s="168">
        <v>436</v>
      </c>
      <c r="C719" s="167" t="s">
        <v>387</v>
      </c>
      <c r="D719" s="168">
        <v>60</v>
      </c>
      <c r="E719" s="168" t="s">
        <v>1083</v>
      </c>
    </row>
    <row r="720" spans="1:5" ht="12.75">
      <c r="A720" s="167" t="s">
        <v>392</v>
      </c>
      <c r="B720" s="168">
        <v>436</v>
      </c>
      <c r="C720" s="167" t="s">
        <v>387</v>
      </c>
      <c r="D720" s="168">
        <v>26</v>
      </c>
      <c r="E720" s="168">
        <v>25</v>
      </c>
    </row>
    <row r="721" spans="1:5" ht="12.75">
      <c r="A721" s="167" t="s">
        <v>393</v>
      </c>
      <c r="B721" s="168">
        <v>436</v>
      </c>
      <c r="C721" s="167" t="s">
        <v>387</v>
      </c>
      <c r="D721" s="168">
        <v>27</v>
      </c>
      <c r="E721" s="168">
        <v>14</v>
      </c>
    </row>
    <row r="722" spans="1:5" ht="12.75">
      <c r="A722" s="167" t="s">
        <v>394</v>
      </c>
      <c r="B722" s="168">
        <v>436</v>
      </c>
      <c r="C722" s="167" t="s">
        <v>387</v>
      </c>
      <c r="D722" s="168">
        <v>50</v>
      </c>
      <c r="E722" s="168" t="s">
        <v>1083</v>
      </c>
    </row>
    <row r="723" spans="1:5" ht="12.75">
      <c r="A723" s="167" t="s">
        <v>409</v>
      </c>
      <c r="B723" s="168">
        <v>436</v>
      </c>
      <c r="C723" s="167" t="s">
        <v>387</v>
      </c>
      <c r="D723" s="168">
        <v>2</v>
      </c>
      <c r="E723" s="168">
        <v>21</v>
      </c>
    </row>
    <row r="724" spans="1:5" ht="12.75">
      <c r="A724" s="167" t="s">
        <v>410</v>
      </c>
      <c r="B724" s="168">
        <v>436</v>
      </c>
      <c r="C724" s="167" t="s">
        <v>387</v>
      </c>
      <c r="D724" s="168">
        <v>55</v>
      </c>
      <c r="E724" s="168">
        <v>19</v>
      </c>
    </row>
    <row r="725" spans="1:5" ht="12.75">
      <c r="A725" s="167" t="s">
        <v>411</v>
      </c>
      <c r="B725" s="168">
        <v>436</v>
      </c>
      <c r="C725" s="167" t="s">
        <v>387</v>
      </c>
      <c r="D725" s="168">
        <v>34</v>
      </c>
      <c r="E725" s="168">
        <v>11</v>
      </c>
    </row>
    <row r="726" spans="1:5" ht="12.75">
      <c r="A726" s="167" t="s">
        <v>412</v>
      </c>
      <c r="B726" s="168">
        <v>436</v>
      </c>
      <c r="C726" s="167" t="s">
        <v>387</v>
      </c>
      <c r="D726" s="168">
        <v>72</v>
      </c>
      <c r="E726" s="168">
        <v>16</v>
      </c>
    </row>
    <row r="727" spans="1:5" ht="12.75">
      <c r="A727" s="167" t="s">
        <v>413</v>
      </c>
      <c r="B727" s="168">
        <v>436</v>
      </c>
      <c r="C727" s="167" t="s">
        <v>387</v>
      </c>
      <c r="D727" s="168">
        <v>73</v>
      </c>
      <c r="E727" s="168" t="s">
        <v>1083</v>
      </c>
    </row>
    <row r="728" spans="1:5" ht="12.75">
      <c r="A728" s="167" t="s">
        <v>414</v>
      </c>
      <c r="B728" s="168">
        <v>436</v>
      </c>
      <c r="C728" s="167" t="s">
        <v>387</v>
      </c>
      <c r="D728" s="168">
        <v>57</v>
      </c>
      <c r="E728" s="168">
        <v>27</v>
      </c>
    </row>
    <row r="729" spans="1:5" ht="12.75">
      <c r="A729" s="167" t="s">
        <v>415</v>
      </c>
      <c r="B729" s="168">
        <v>436</v>
      </c>
      <c r="C729" s="167" t="s">
        <v>387</v>
      </c>
      <c r="D729" s="168">
        <v>71</v>
      </c>
      <c r="E729" s="168">
        <v>17</v>
      </c>
    </row>
    <row r="730" spans="1:5" ht="12.75">
      <c r="A730" s="167" t="s">
        <v>552</v>
      </c>
      <c r="B730" s="168">
        <v>436</v>
      </c>
      <c r="C730" s="167" t="s">
        <v>387</v>
      </c>
      <c r="D730" s="168">
        <v>61</v>
      </c>
      <c r="E730" s="168">
        <v>13</v>
      </c>
    </row>
    <row r="731" spans="1:5" ht="12.75">
      <c r="A731" s="167" t="s">
        <v>553</v>
      </c>
      <c r="B731" s="168">
        <v>436</v>
      </c>
      <c r="C731" s="167" t="s">
        <v>387</v>
      </c>
      <c r="D731" s="168">
        <v>51</v>
      </c>
      <c r="E731" s="168" t="s">
        <v>1083</v>
      </c>
    </row>
    <row r="732" spans="1:5" ht="12.75">
      <c r="A732" s="167" t="s">
        <v>554</v>
      </c>
      <c r="B732" s="168">
        <v>436</v>
      </c>
      <c r="C732" s="167" t="s">
        <v>387</v>
      </c>
      <c r="D732" s="168">
        <v>18</v>
      </c>
      <c r="E732" s="168">
        <v>10</v>
      </c>
    </row>
    <row r="733" spans="1:5" ht="12.75">
      <c r="A733" s="167" t="s">
        <v>555</v>
      </c>
      <c r="B733" s="168">
        <v>436</v>
      </c>
      <c r="C733" s="167" t="s">
        <v>387</v>
      </c>
      <c r="D733" s="168">
        <v>17</v>
      </c>
      <c r="E733" s="168">
        <v>1</v>
      </c>
    </row>
    <row r="734" spans="1:5" ht="12.75">
      <c r="A734" s="167" t="s">
        <v>556</v>
      </c>
      <c r="B734" s="168">
        <v>436</v>
      </c>
      <c r="C734" s="167" t="s">
        <v>387</v>
      </c>
      <c r="D734" s="168">
        <v>35</v>
      </c>
      <c r="E734" s="168">
        <v>3</v>
      </c>
    </row>
    <row r="735" spans="1:5" ht="12.75">
      <c r="A735" s="167" t="s">
        <v>557</v>
      </c>
      <c r="B735" s="168">
        <v>436</v>
      </c>
      <c r="C735" s="167" t="s">
        <v>387</v>
      </c>
      <c r="D735" s="168">
        <v>75</v>
      </c>
      <c r="E735" s="168">
        <v>26</v>
      </c>
    </row>
    <row r="736" spans="1:5" ht="12.75">
      <c r="A736" s="167" t="s">
        <v>558</v>
      </c>
      <c r="B736" s="168">
        <v>436</v>
      </c>
      <c r="C736" s="167" t="s">
        <v>387</v>
      </c>
      <c r="D736" s="168">
        <v>69</v>
      </c>
      <c r="E736" s="168">
        <v>6</v>
      </c>
    </row>
    <row r="737" spans="1:5" ht="12.75">
      <c r="A737" s="167" t="s">
        <v>559</v>
      </c>
      <c r="B737" s="168">
        <v>436</v>
      </c>
      <c r="C737" s="167" t="s">
        <v>387</v>
      </c>
      <c r="D737" s="168">
        <v>38</v>
      </c>
      <c r="E737" s="168">
        <v>12</v>
      </c>
    </row>
    <row r="738" spans="1:5" ht="12.75">
      <c r="A738" s="167" t="s">
        <v>560</v>
      </c>
      <c r="B738" s="168">
        <v>436</v>
      </c>
      <c r="C738" s="167" t="s">
        <v>387</v>
      </c>
      <c r="D738" s="168">
        <v>70</v>
      </c>
      <c r="E738" s="168" t="s">
        <v>1083</v>
      </c>
    </row>
    <row r="739" spans="1:5" ht="12.75">
      <c r="A739" s="167" t="s">
        <v>1708</v>
      </c>
      <c r="B739" s="168">
        <v>436</v>
      </c>
      <c r="C739" s="167" t="s">
        <v>387</v>
      </c>
      <c r="D739" s="168">
        <v>66</v>
      </c>
      <c r="E739" s="168">
        <v>20</v>
      </c>
    </row>
    <row r="740" spans="1:5" ht="12.75">
      <c r="A740" s="167" t="s">
        <v>561</v>
      </c>
      <c r="B740" s="168">
        <v>436</v>
      </c>
      <c r="C740" s="167" t="s">
        <v>387</v>
      </c>
      <c r="D740" s="168">
        <v>39</v>
      </c>
      <c r="E740" s="168">
        <v>2</v>
      </c>
    </row>
    <row r="741" spans="1:5" ht="12.75">
      <c r="A741" s="167" t="s">
        <v>1709</v>
      </c>
      <c r="B741" s="168">
        <v>436</v>
      </c>
      <c r="C741" s="167" t="s">
        <v>387</v>
      </c>
      <c r="D741" s="168">
        <v>29</v>
      </c>
      <c r="E741" s="168" t="s">
        <v>1083</v>
      </c>
    </row>
    <row r="742" spans="1:5" ht="12.75">
      <c r="A742" s="167" t="s">
        <v>562</v>
      </c>
      <c r="B742" s="168">
        <v>436</v>
      </c>
      <c r="C742" s="167" t="s">
        <v>387</v>
      </c>
      <c r="D742" s="168">
        <v>67</v>
      </c>
      <c r="E742" s="168">
        <v>23</v>
      </c>
    </row>
    <row r="743" spans="1:5" ht="12.75">
      <c r="A743" s="167" t="s">
        <v>563</v>
      </c>
      <c r="B743" s="168">
        <v>436</v>
      </c>
      <c r="C743" s="167" t="s">
        <v>387</v>
      </c>
      <c r="D743" s="168">
        <v>74</v>
      </c>
      <c r="E743" s="168">
        <v>8</v>
      </c>
    </row>
    <row r="744" spans="1:5" ht="12.75">
      <c r="A744" s="167" t="s">
        <v>564</v>
      </c>
      <c r="B744" s="168">
        <v>436</v>
      </c>
      <c r="C744" s="167" t="s">
        <v>387</v>
      </c>
      <c r="D744" s="168">
        <v>3</v>
      </c>
      <c r="E744" s="168">
        <v>15</v>
      </c>
    </row>
    <row r="745" spans="1:5" ht="12.75">
      <c r="A745" s="167" t="s">
        <v>565</v>
      </c>
      <c r="B745" s="168">
        <v>436</v>
      </c>
      <c r="C745" s="167" t="s">
        <v>387</v>
      </c>
      <c r="D745" s="168">
        <v>10</v>
      </c>
      <c r="E745" s="168">
        <v>7</v>
      </c>
    </row>
    <row r="746" spans="1:5" ht="12.75">
      <c r="A746" s="167" t="s">
        <v>566</v>
      </c>
      <c r="B746" s="168">
        <v>436</v>
      </c>
      <c r="C746" s="167" t="s">
        <v>387</v>
      </c>
      <c r="D746" s="168">
        <v>8</v>
      </c>
      <c r="E746" s="168">
        <v>22</v>
      </c>
    </row>
    <row r="747" spans="1:5" ht="12.75">
      <c r="A747" s="167" t="s">
        <v>567</v>
      </c>
      <c r="B747" s="168">
        <v>436</v>
      </c>
      <c r="C747" s="167" t="s">
        <v>387</v>
      </c>
      <c r="D747" s="168">
        <v>63</v>
      </c>
      <c r="E747" s="168" t="s">
        <v>1083</v>
      </c>
    </row>
    <row r="748" spans="1:5" ht="12.75">
      <c r="A748" s="167" t="s">
        <v>568</v>
      </c>
      <c r="B748" s="168">
        <v>436</v>
      </c>
      <c r="C748" s="167" t="s">
        <v>387</v>
      </c>
      <c r="D748" s="168">
        <v>25</v>
      </c>
      <c r="E748" s="168">
        <v>9</v>
      </c>
    </row>
    <row r="749" spans="1:5" ht="12.75">
      <c r="A749" s="167" t="s">
        <v>569</v>
      </c>
      <c r="B749" s="168">
        <v>436</v>
      </c>
      <c r="C749" s="167" t="s">
        <v>387</v>
      </c>
      <c r="D749" s="168">
        <v>64</v>
      </c>
      <c r="E749" s="168">
        <v>18</v>
      </c>
    </row>
    <row r="750" spans="1:5" ht="12.75">
      <c r="A750" s="167" t="s">
        <v>570</v>
      </c>
      <c r="B750" s="168">
        <v>309</v>
      </c>
      <c r="C750" s="167" t="s">
        <v>571</v>
      </c>
      <c r="D750" s="168">
        <v>132</v>
      </c>
      <c r="E750" s="168">
        <v>6</v>
      </c>
    </row>
    <row r="751" spans="1:5" ht="12.75">
      <c r="A751" s="167" t="s">
        <v>572</v>
      </c>
      <c r="B751" s="168">
        <v>309</v>
      </c>
      <c r="C751" s="167" t="s">
        <v>571</v>
      </c>
      <c r="D751" s="168">
        <v>128</v>
      </c>
      <c r="E751" s="168">
        <v>20</v>
      </c>
    </row>
    <row r="752" spans="1:5" ht="12.75">
      <c r="A752" s="167" t="s">
        <v>573</v>
      </c>
      <c r="B752" s="168">
        <v>309</v>
      </c>
      <c r="C752" s="167" t="s">
        <v>571</v>
      </c>
      <c r="D752" s="168">
        <v>162</v>
      </c>
      <c r="E752" s="168">
        <v>18</v>
      </c>
    </row>
    <row r="753" spans="1:5" ht="12.75">
      <c r="A753" s="167" t="s">
        <v>574</v>
      </c>
      <c r="B753" s="168">
        <v>309</v>
      </c>
      <c r="C753" s="167" t="s">
        <v>571</v>
      </c>
      <c r="D753" s="168">
        <v>158</v>
      </c>
      <c r="E753" s="168">
        <v>11</v>
      </c>
    </row>
    <row r="754" spans="1:5" ht="12.75">
      <c r="A754" s="167" t="s">
        <v>575</v>
      </c>
      <c r="B754" s="168">
        <v>309</v>
      </c>
      <c r="C754" s="167" t="s">
        <v>571</v>
      </c>
      <c r="D754" s="168">
        <v>3</v>
      </c>
      <c r="E754" s="168">
        <v>7</v>
      </c>
    </row>
    <row r="755" spans="1:5" ht="12.75">
      <c r="A755" s="167" t="s">
        <v>576</v>
      </c>
      <c r="B755" s="168">
        <v>309</v>
      </c>
      <c r="C755" s="167" t="s">
        <v>571</v>
      </c>
      <c r="D755" s="168">
        <v>134</v>
      </c>
      <c r="E755" s="168">
        <v>12</v>
      </c>
    </row>
    <row r="756" spans="1:5" ht="12.75">
      <c r="A756" s="167" t="s">
        <v>577</v>
      </c>
      <c r="B756" s="168">
        <v>309</v>
      </c>
      <c r="C756" s="167" t="s">
        <v>571</v>
      </c>
      <c r="D756" s="168">
        <v>40</v>
      </c>
      <c r="E756" s="168">
        <v>15</v>
      </c>
    </row>
    <row r="757" spans="1:5" ht="12.75">
      <c r="A757" s="167" t="s">
        <v>578</v>
      </c>
      <c r="B757" s="168">
        <v>309</v>
      </c>
      <c r="C757" s="167" t="s">
        <v>571</v>
      </c>
      <c r="D757" s="168">
        <v>43</v>
      </c>
      <c r="E757" s="168" t="s">
        <v>1083</v>
      </c>
    </row>
    <row r="758" spans="1:5" ht="12.75">
      <c r="A758" s="167" t="s">
        <v>579</v>
      </c>
      <c r="B758" s="168">
        <v>309</v>
      </c>
      <c r="C758" s="167" t="s">
        <v>571</v>
      </c>
      <c r="D758" s="168">
        <v>75</v>
      </c>
      <c r="E758" s="168">
        <v>5</v>
      </c>
    </row>
    <row r="759" spans="1:5" ht="12.75">
      <c r="A759" s="167" t="s">
        <v>580</v>
      </c>
      <c r="B759" s="168">
        <v>309</v>
      </c>
      <c r="C759" s="167" t="s">
        <v>571</v>
      </c>
      <c r="D759" s="168">
        <v>6</v>
      </c>
      <c r="E759" s="168" t="s">
        <v>1083</v>
      </c>
    </row>
    <row r="760" spans="1:5" ht="12.75">
      <c r="A760" s="167" t="s">
        <v>581</v>
      </c>
      <c r="B760" s="168">
        <v>309</v>
      </c>
      <c r="C760" s="167" t="s">
        <v>571</v>
      </c>
      <c r="D760" s="168">
        <v>148</v>
      </c>
      <c r="E760" s="168">
        <v>16</v>
      </c>
    </row>
    <row r="761" spans="1:5" ht="12.75">
      <c r="A761" s="167" t="s">
        <v>582</v>
      </c>
      <c r="B761" s="168">
        <v>309</v>
      </c>
      <c r="C761" s="167" t="s">
        <v>571</v>
      </c>
      <c r="D761" s="168">
        <v>24</v>
      </c>
      <c r="E761" s="168">
        <v>2</v>
      </c>
    </row>
    <row r="762" spans="1:5" ht="12.75">
      <c r="A762" s="167" t="s">
        <v>583</v>
      </c>
      <c r="B762" s="168">
        <v>309</v>
      </c>
      <c r="C762" s="167" t="s">
        <v>571</v>
      </c>
      <c r="D762" s="168">
        <v>8</v>
      </c>
      <c r="E762" s="168">
        <v>8</v>
      </c>
    </row>
    <row r="763" spans="1:5" ht="12.75">
      <c r="A763" s="167" t="s">
        <v>584</v>
      </c>
      <c r="B763" s="168">
        <v>309</v>
      </c>
      <c r="C763" s="167" t="s">
        <v>571</v>
      </c>
      <c r="D763" s="168">
        <v>149</v>
      </c>
      <c r="E763" s="168" t="s">
        <v>1083</v>
      </c>
    </row>
    <row r="764" spans="1:5" ht="12.75">
      <c r="A764" s="167" t="s">
        <v>585</v>
      </c>
      <c r="B764" s="168">
        <v>309</v>
      </c>
      <c r="C764" s="167" t="s">
        <v>571</v>
      </c>
      <c r="D764" s="168">
        <v>44</v>
      </c>
      <c r="E764" s="168">
        <v>10</v>
      </c>
    </row>
    <row r="765" spans="1:5" ht="12.75">
      <c r="A765" s="167" t="s">
        <v>586</v>
      </c>
      <c r="B765" s="168">
        <v>309</v>
      </c>
      <c r="C765" s="167" t="s">
        <v>571</v>
      </c>
      <c r="D765" s="168">
        <v>106</v>
      </c>
      <c r="E765" s="168" t="s">
        <v>1083</v>
      </c>
    </row>
    <row r="766" spans="1:5" ht="12.75">
      <c r="A766" s="167" t="s">
        <v>587</v>
      </c>
      <c r="B766" s="168">
        <v>309</v>
      </c>
      <c r="C766" s="167" t="s">
        <v>571</v>
      </c>
      <c r="D766" s="168">
        <v>68</v>
      </c>
      <c r="E766" s="168">
        <v>23</v>
      </c>
    </row>
    <row r="767" spans="1:5" ht="12.75">
      <c r="A767" s="167" t="s">
        <v>588</v>
      </c>
      <c r="B767" s="168">
        <v>309</v>
      </c>
      <c r="C767" s="167" t="s">
        <v>571</v>
      </c>
      <c r="D767" s="168">
        <v>100</v>
      </c>
      <c r="E767" s="168" t="s">
        <v>1083</v>
      </c>
    </row>
    <row r="768" spans="1:5" ht="12.75">
      <c r="A768" s="167" t="s">
        <v>589</v>
      </c>
      <c r="B768" s="168">
        <v>309</v>
      </c>
      <c r="C768" s="167" t="s">
        <v>571</v>
      </c>
      <c r="D768" s="168">
        <v>150</v>
      </c>
      <c r="E768" s="168">
        <v>17</v>
      </c>
    </row>
    <row r="769" spans="1:5" ht="12.75">
      <c r="A769" s="167" t="s">
        <v>590</v>
      </c>
      <c r="B769" s="168">
        <v>309</v>
      </c>
      <c r="C769" s="167" t="s">
        <v>571</v>
      </c>
      <c r="D769" s="168">
        <v>82</v>
      </c>
      <c r="E769" s="168">
        <v>13</v>
      </c>
    </row>
    <row r="770" spans="1:5" ht="12.75">
      <c r="A770" s="167" t="s">
        <v>591</v>
      </c>
      <c r="B770" s="168">
        <v>309</v>
      </c>
      <c r="C770" s="167" t="s">
        <v>571</v>
      </c>
      <c r="D770" s="168">
        <v>146</v>
      </c>
      <c r="E770" s="168">
        <v>22</v>
      </c>
    </row>
    <row r="771" spans="1:5" ht="12.75">
      <c r="A771" s="167" t="s">
        <v>592</v>
      </c>
      <c r="B771" s="168">
        <v>309</v>
      </c>
      <c r="C771" s="167" t="s">
        <v>571</v>
      </c>
      <c r="D771" s="168">
        <v>87</v>
      </c>
      <c r="E771" s="168">
        <v>14</v>
      </c>
    </row>
    <row r="772" spans="1:5" ht="12.75">
      <c r="A772" s="167" t="s">
        <v>593</v>
      </c>
      <c r="B772" s="168">
        <v>309</v>
      </c>
      <c r="C772" s="167" t="s">
        <v>571</v>
      </c>
      <c r="D772" s="168">
        <v>159</v>
      </c>
      <c r="E772" s="168">
        <v>21</v>
      </c>
    </row>
    <row r="773" spans="1:5" ht="12.75">
      <c r="A773" s="167" t="s">
        <v>594</v>
      </c>
      <c r="B773" s="168">
        <v>309</v>
      </c>
      <c r="C773" s="167" t="s">
        <v>571</v>
      </c>
      <c r="D773" s="168">
        <v>160</v>
      </c>
      <c r="E773" s="168" t="s">
        <v>1083</v>
      </c>
    </row>
    <row r="774" spans="1:5" ht="12.75">
      <c r="A774" s="167" t="s">
        <v>595</v>
      </c>
      <c r="B774" s="168">
        <v>309</v>
      </c>
      <c r="C774" s="167" t="s">
        <v>571</v>
      </c>
      <c r="D774" s="168">
        <v>15</v>
      </c>
      <c r="E774" s="168">
        <v>1</v>
      </c>
    </row>
    <row r="775" spans="1:5" ht="12.75">
      <c r="A775" s="167" t="s">
        <v>596</v>
      </c>
      <c r="B775" s="168">
        <v>309</v>
      </c>
      <c r="C775" s="167" t="s">
        <v>571</v>
      </c>
      <c r="D775" s="168">
        <v>25</v>
      </c>
      <c r="E775" s="168">
        <v>3</v>
      </c>
    </row>
    <row r="776" spans="1:5" ht="12.75">
      <c r="A776" s="167" t="s">
        <v>597</v>
      </c>
      <c r="B776" s="168">
        <v>309</v>
      </c>
      <c r="C776" s="167" t="s">
        <v>571</v>
      </c>
      <c r="D776" s="168">
        <v>161</v>
      </c>
      <c r="E776" s="168">
        <v>9</v>
      </c>
    </row>
    <row r="777" spans="1:5" ht="12.75">
      <c r="A777" s="167" t="s">
        <v>598</v>
      </c>
      <c r="B777" s="168">
        <v>309</v>
      </c>
      <c r="C777" s="167" t="s">
        <v>571</v>
      </c>
      <c r="D777" s="168">
        <v>88</v>
      </c>
      <c r="E777" s="168">
        <v>4</v>
      </c>
    </row>
    <row r="778" spans="1:5" ht="12.75">
      <c r="A778" s="167" t="s">
        <v>599</v>
      </c>
      <c r="B778" s="168">
        <v>309</v>
      </c>
      <c r="C778" s="167" t="s">
        <v>571</v>
      </c>
      <c r="D778" s="168">
        <v>55</v>
      </c>
      <c r="E778" s="168" t="s">
        <v>1083</v>
      </c>
    </row>
    <row r="779" spans="1:5" ht="12.75">
      <c r="A779" s="167" t="s">
        <v>600</v>
      </c>
      <c r="B779" s="168">
        <v>309</v>
      </c>
      <c r="C779" s="167" t="s">
        <v>571</v>
      </c>
      <c r="D779" s="168">
        <v>56</v>
      </c>
      <c r="E779" s="168">
        <v>19</v>
      </c>
    </row>
    <row r="780" spans="1:5" ht="12.75">
      <c r="A780" s="167" t="s">
        <v>601</v>
      </c>
      <c r="B780" s="168">
        <v>309</v>
      </c>
      <c r="C780" s="167" t="s">
        <v>571</v>
      </c>
      <c r="D780" s="168">
        <v>147</v>
      </c>
      <c r="E780" s="168" t="s">
        <v>1083</v>
      </c>
    </row>
    <row r="781" spans="1:5" ht="12.75">
      <c r="A781" s="167" t="s">
        <v>602</v>
      </c>
      <c r="B781" s="168">
        <v>310</v>
      </c>
      <c r="C781" s="167" t="s">
        <v>603</v>
      </c>
      <c r="D781" s="168">
        <v>117</v>
      </c>
      <c r="E781" s="168">
        <v>35</v>
      </c>
    </row>
    <row r="782" spans="1:5" ht="12.75">
      <c r="A782" s="167" t="s">
        <v>604</v>
      </c>
      <c r="B782" s="168">
        <v>310</v>
      </c>
      <c r="C782" s="167" t="s">
        <v>603</v>
      </c>
      <c r="D782" s="168">
        <v>1</v>
      </c>
      <c r="E782" s="168">
        <v>24</v>
      </c>
    </row>
    <row r="783" spans="1:5" ht="12.75">
      <c r="A783" s="167" t="s">
        <v>605</v>
      </c>
      <c r="B783" s="168">
        <v>310</v>
      </c>
      <c r="C783" s="167" t="s">
        <v>603</v>
      </c>
      <c r="D783" s="168">
        <v>34</v>
      </c>
      <c r="E783" s="168">
        <v>2</v>
      </c>
    </row>
    <row r="784" spans="1:5" ht="12.75">
      <c r="A784" s="167" t="s">
        <v>606</v>
      </c>
      <c r="B784" s="168">
        <v>310</v>
      </c>
      <c r="C784" s="167" t="s">
        <v>603</v>
      </c>
      <c r="D784" s="168">
        <v>24</v>
      </c>
      <c r="E784" s="168">
        <v>29</v>
      </c>
    </row>
    <row r="785" spans="1:5" ht="12.75">
      <c r="A785" s="167" t="s">
        <v>607</v>
      </c>
      <c r="B785" s="168">
        <v>310</v>
      </c>
      <c r="C785" s="167" t="s">
        <v>603</v>
      </c>
      <c r="D785" s="168">
        <v>118</v>
      </c>
      <c r="E785" s="168">
        <v>27</v>
      </c>
    </row>
    <row r="786" spans="1:5" ht="12.75">
      <c r="A786" s="167" t="s">
        <v>608</v>
      </c>
      <c r="B786" s="168">
        <v>310</v>
      </c>
      <c r="C786" s="167" t="s">
        <v>603</v>
      </c>
      <c r="D786" s="168">
        <v>78</v>
      </c>
      <c r="E786" s="168">
        <v>30</v>
      </c>
    </row>
    <row r="787" spans="1:5" ht="12.75">
      <c r="A787" s="167" t="s">
        <v>609</v>
      </c>
      <c r="B787" s="168">
        <v>310</v>
      </c>
      <c r="C787" s="167" t="s">
        <v>603</v>
      </c>
      <c r="D787" s="168">
        <v>97</v>
      </c>
      <c r="E787" s="168">
        <v>31</v>
      </c>
    </row>
    <row r="788" spans="1:5" ht="12.75">
      <c r="A788" s="167" t="s">
        <v>610</v>
      </c>
      <c r="B788" s="168">
        <v>310</v>
      </c>
      <c r="C788" s="167" t="s">
        <v>603</v>
      </c>
      <c r="D788" s="168">
        <v>105</v>
      </c>
      <c r="E788" s="168">
        <v>13</v>
      </c>
    </row>
    <row r="789" spans="1:5" ht="12.75">
      <c r="A789" s="167" t="s">
        <v>611</v>
      </c>
      <c r="B789" s="168">
        <v>310</v>
      </c>
      <c r="C789" s="167" t="s">
        <v>603</v>
      </c>
      <c r="D789" s="168">
        <v>106</v>
      </c>
      <c r="E789" s="168" t="s">
        <v>1083</v>
      </c>
    </row>
    <row r="790" spans="1:5" ht="12.75">
      <c r="A790" s="167" t="s">
        <v>612</v>
      </c>
      <c r="B790" s="168">
        <v>310</v>
      </c>
      <c r="C790" s="167" t="s">
        <v>603</v>
      </c>
      <c r="D790" s="168">
        <v>36</v>
      </c>
      <c r="E790" s="168">
        <v>32</v>
      </c>
    </row>
    <row r="791" spans="1:5" ht="12.75">
      <c r="A791" s="167" t="s">
        <v>613</v>
      </c>
      <c r="B791" s="168">
        <v>310</v>
      </c>
      <c r="C791" s="167" t="s">
        <v>603</v>
      </c>
      <c r="D791" s="168">
        <v>126</v>
      </c>
      <c r="E791" s="168">
        <v>16</v>
      </c>
    </row>
    <row r="792" spans="1:5" ht="12.75">
      <c r="A792" s="167" t="s">
        <v>614</v>
      </c>
      <c r="B792" s="168">
        <v>310</v>
      </c>
      <c r="C792" s="167" t="s">
        <v>603</v>
      </c>
      <c r="D792" s="168">
        <v>122</v>
      </c>
      <c r="E792" s="168">
        <v>10</v>
      </c>
    </row>
    <row r="793" spans="1:5" ht="12.75">
      <c r="A793" s="167" t="s">
        <v>615</v>
      </c>
      <c r="B793" s="168">
        <v>310</v>
      </c>
      <c r="C793" s="167" t="s">
        <v>603</v>
      </c>
      <c r="D793" s="168">
        <v>65</v>
      </c>
      <c r="E793" s="168">
        <v>22</v>
      </c>
    </row>
    <row r="794" spans="1:5" ht="12.75">
      <c r="A794" s="167" t="s">
        <v>616</v>
      </c>
      <c r="B794" s="168">
        <v>310</v>
      </c>
      <c r="C794" s="167" t="s">
        <v>603</v>
      </c>
      <c r="D794" s="168">
        <v>6</v>
      </c>
      <c r="E794" s="168">
        <v>25</v>
      </c>
    </row>
    <row r="795" spans="1:5" ht="12.75">
      <c r="A795" s="167" t="s">
        <v>617</v>
      </c>
      <c r="B795" s="168">
        <v>310</v>
      </c>
      <c r="C795" s="167" t="s">
        <v>603</v>
      </c>
      <c r="D795" s="168">
        <v>124</v>
      </c>
      <c r="E795" s="168">
        <v>8</v>
      </c>
    </row>
    <row r="796" spans="1:5" ht="12.75">
      <c r="A796" s="167" t="s">
        <v>618</v>
      </c>
      <c r="B796" s="168">
        <v>310</v>
      </c>
      <c r="C796" s="167" t="s">
        <v>603</v>
      </c>
      <c r="D796" s="168">
        <v>43</v>
      </c>
      <c r="E796" s="168">
        <v>34</v>
      </c>
    </row>
    <row r="797" spans="1:5" ht="12.75">
      <c r="A797" s="167" t="s">
        <v>619</v>
      </c>
      <c r="B797" s="168">
        <v>310</v>
      </c>
      <c r="C797" s="167" t="s">
        <v>603</v>
      </c>
      <c r="D797" s="168">
        <v>113</v>
      </c>
      <c r="E797" s="168">
        <v>23</v>
      </c>
    </row>
    <row r="798" spans="1:5" ht="12.75">
      <c r="A798" s="167" t="s">
        <v>620</v>
      </c>
      <c r="B798" s="168">
        <v>310</v>
      </c>
      <c r="C798" s="167" t="s">
        <v>603</v>
      </c>
      <c r="D798" s="168">
        <v>104</v>
      </c>
      <c r="E798" s="168">
        <v>19</v>
      </c>
    </row>
    <row r="799" spans="1:5" ht="12.75">
      <c r="A799" s="167" t="s">
        <v>621</v>
      </c>
      <c r="B799" s="168">
        <v>310</v>
      </c>
      <c r="C799" s="167" t="s">
        <v>603</v>
      </c>
      <c r="D799" s="168">
        <v>115</v>
      </c>
      <c r="E799" s="168">
        <v>9</v>
      </c>
    </row>
    <row r="800" spans="1:5" ht="12.75">
      <c r="A800" s="167" t="s">
        <v>622</v>
      </c>
      <c r="B800" s="168">
        <v>310</v>
      </c>
      <c r="C800" s="167" t="s">
        <v>603</v>
      </c>
      <c r="D800" s="168">
        <v>51</v>
      </c>
      <c r="E800" s="168">
        <v>33</v>
      </c>
    </row>
    <row r="801" spans="1:5" ht="12.75">
      <c r="A801" s="167" t="s">
        <v>623</v>
      </c>
      <c r="B801" s="168">
        <v>310</v>
      </c>
      <c r="C801" s="167" t="s">
        <v>603</v>
      </c>
      <c r="D801" s="168">
        <v>77</v>
      </c>
      <c r="E801" s="168">
        <v>28</v>
      </c>
    </row>
    <row r="802" spans="1:5" ht="12.75">
      <c r="A802" s="167" t="s">
        <v>624</v>
      </c>
      <c r="B802" s="168">
        <v>310</v>
      </c>
      <c r="C802" s="167" t="s">
        <v>603</v>
      </c>
      <c r="D802" s="168">
        <v>8</v>
      </c>
      <c r="E802" s="168">
        <v>18</v>
      </c>
    </row>
    <row r="803" spans="1:5" ht="12.75">
      <c r="A803" s="167" t="s">
        <v>625</v>
      </c>
      <c r="B803" s="168">
        <v>310</v>
      </c>
      <c r="C803" s="167" t="s">
        <v>603</v>
      </c>
      <c r="D803" s="168">
        <v>110</v>
      </c>
      <c r="E803" s="168">
        <v>6</v>
      </c>
    </row>
    <row r="804" spans="1:5" ht="12.75">
      <c r="A804" s="167" t="s">
        <v>626</v>
      </c>
      <c r="B804" s="168">
        <v>310</v>
      </c>
      <c r="C804" s="167" t="s">
        <v>603</v>
      </c>
      <c r="D804" s="168">
        <v>9</v>
      </c>
      <c r="E804" s="168">
        <v>36</v>
      </c>
    </row>
    <row r="805" spans="1:5" ht="12.75">
      <c r="A805" s="167" t="s">
        <v>627</v>
      </c>
      <c r="B805" s="168">
        <v>310</v>
      </c>
      <c r="C805" s="167" t="s">
        <v>603</v>
      </c>
      <c r="D805" s="168">
        <v>123</v>
      </c>
      <c r="E805" s="168">
        <v>5</v>
      </c>
    </row>
    <row r="806" spans="1:5" ht="12.75">
      <c r="A806" s="167" t="s">
        <v>628</v>
      </c>
      <c r="B806" s="168">
        <v>310</v>
      </c>
      <c r="C806" s="167" t="s">
        <v>603</v>
      </c>
      <c r="D806" s="168">
        <v>52</v>
      </c>
      <c r="E806" s="168">
        <v>37</v>
      </c>
    </row>
    <row r="807" spans="1:5" ht="12.75">
      <c r="A807" s="167" t="s">
        <v>629</v>
      </c>
      <c r="B807" s="168">
        <v>310</v>
      </c>
      <c r="C807" s="167" t="s">
        <v>603</v>
      </c>
      <c r="D807" s="168">
        <v>127</v>
      </c>
      <c r="E807" s="168">
        <v>12</v>
      </c>
    </row>
    <row r="808" spans="1:5" ht="12.75">
      <c r="A808" s="167" t="s">
        <v>630</v>
      </c>
      <c r="B808" s="168">
        <v>310</v>
      </c>
      <c r="C808" s="167" t="s">
        <v>603</v>
      </c>
      <c r="D808" s="168">
        <v>73</v>
      </c>
      <c r="E808" s="168">
        <v>38</v>
      </c>
    </row>
    <row r="809" spans="1:5" ht="12.75">
      <c r="A809" s="167" t="s">
        <v>631</v>
      </c>
      <c r="B809" s="168">
        <v>310</v>
      </c>
      <c r="C809" s="167" t="s">
        <v>603</v>
      </c>
      <c r="D809" s="168">
        <v>95</v>
      </c>
      <c r="E809" s="168">
        <v>26</v>
      </c>
    </row>
    <row r="810" spans="1:5" ht="12.75">
      <c r="A810" s="167" t="s">
        <v>632</v>
      </c>
      <c r="B810" s="168">
        <v>310</v>
      </c>
      <c r="C810" s="167" t="s">
        <v>603</v>
      </c>
      <c r="D810" s="168">
        <v>17</v>
      </c>
      <c r="E810" s="168">
        <v>39</v>
      </c>
    </row>
    <row r="811" spans="1:5" ht="12.75">
      <c r="A811" s="167" t="s">
        <v>633</v>
      </c>
      <c r="B811" s="168">
        <v>310</v>
      </c>
      <c r="C811" s="167" t="s">
        <v>603</v>
      </c>
      <c r="D811" s="168">
        <v>120</v>
      </c>
      <c r="E811" s="168">
        <v>40</v>
      </c>
    </row>
    <row r="812" spans="1:5" ht="12.75">
      <c r="A812" s="167" t="s">
        <v>634</v>
      </c>
      <c r="B812" s="168">
        <v>310</v>
      </c>
      <c r="C812" s="167" t="s">
        <v>603</v>
      </c>
      <c r="D812" s="168">
        <v>40</v>
      </c>
      <c r="E812" s="168">
        <v>41</v>
      </c>
    </row>
    <row r="813" spans="1:5" ht="12.75">
      <c r="A813" s="167" t="s">
        <v>635</v>
      </c>
      <c r="B813" s="168">
        <v>310</v>
      </c>
      <c r="C813" s="167" t="s">
        <v>603</v>
      </c>
      <c r="D813" s="168">
        <v>130</v>
      </c>
      <c r="E813" s="168">
        <v>15</v>
      </c>
    </row>
    <row r="814" spans="1:5" ht="12.75">
      <c r="A814" s="167" t="s">
        <v>636</v>
      </c>
      <c r="B814" s="168">
        <v>310</v>
      </c>
      <c r="C814" s="167" t="s">
        <v>603</v>
      </c>
      <c r="D814" s="168">
        <v>88</v>
      </c>
      <c r="E814" s="168">
        <v>1</v>
      </c>
    </row>
    <row r="815" spans="1:5" ht="12.75">
      <c r="A815" s="167" t="s">
        <v>636</v>
      </c>
      <c r="B815" s="168">
        <v>310</v>
      </c>
      <c r="C815" s="167" t="s">
        <v>603</v>
      </c>
      <c r="D815" s="168">
        <v>54</v>
      </c>
      <c r="E815" s="168">
        <v>4</v>
      </c>
    </row>
    <row r="816" spans="1:5" ht="12.75">
      <c r="A816" s="167" t="s">
        <v>637</v>
      </c>
      <c r="B816" s="168">
        <v>310</v>
      </c>
      <c r="C816" s="167" t="s">
        <v>603</v>
      </c>
      <c r="D816" s="168">
        <v>44</v>
      </c>
      <c r="E816" s="168" t="s">
        <v>1083</v>
      </c>
    </row>
    <row r="817" spans="1:5" ht="12.75">
      <c r="A817" s="167" t="s">
        <v>638</v>
      </c>
      <c r="B817" s="168">
        <v>310</v>
      </c>
      <c r="C817" s="167" t="s">
        <v>603</v>
      </c>
      <c r="D817" s="168">
        <v>128</v>
      </c>
      <c r="E817" s="168">
        <v>11</v>
      </c>
    </row>
    <row r="818" spans="1:5" ht="12.75">
      <c r="A818" s="167" t="s">
        <v>639</v>
      </c>
      <c r="B818" s="168">
        <v>310</v>
      </c>
      <c r="C818" s="167" t="s">
        <v>603</v>
      </c>
      <c r="D818" s="168">
        <v>80</v>
      </c>
      <c r="E818" s="168">
        <v>7</v>
      </c>
    </row>
    <row r="819" spans="1:5" ht="12.75">
      <c r="A819" s="167" t="s">
        <v>640</v>
      </c>
      <c r="B819" s="168">
        <v>310</v>
      </c>
      <c r="C819" s="167" t="s">
        <v>603</v>
      </c>
      <c r="D819" s="168">
        <v>129</v>
      </c>
      <c r="E819" s="168">
        <v>17</v>
      </c>
    </row>
    <row r="820" spans="1:5" ht="12.75">
      <c r="A820" s="167" t="s">
        <v>641</v>
      </c>
      <c r="B820" s="168">
        <v>310</v>
      </c>
      <c r="C820" s="167" t="s">
        <v>603</v>
      </c>
      <c r="D820" s="168">
        <v>121</v>
      </c>
      <c r="E820" s="168">
        <v>14</v>
      </c>
    </row>
    <row r="821" spans="1:5" ht="12.75">
      <c r="A821" s="167" t="s">
        <v>642</v>
      </c>
      <c r="B821" s="168">
        <v>310</v>
      </c>
      <c r="C821" s="167" t="s">
        <v>603</v>
      </c>
      <c r="D821" s="168">
        <v>70</v>
      </c>
      <c r="E821" s="168">
        <v>20</v>
      </c>
    </row>
    <row r="822" spans="1:5" ht="12.75">
      <c r="A822" s="167" t="s">
        <v>643</v>
      </c>
      <c r="B822" s="168">
        <v>310</v>
      </c>
      <c r="C822" s="167" t="s">
        <v>603</v>
      </c>
      <c r="D822" s="168">
        <v>125</v>
      </c>
      <c r="E822" s="168">
        <v>21</v>
      </c>
    </row>
    <row r="823" spans="1:5" ht="12.75">
      <c r="A823" s="167" t="s">
        <v>644</v>
      </c>
      <c r="B823" s="168">
        <v>310</v>
      </c>
      <c r="C823" s="167" t="s">
        <v>603</v>
      </c>
      <c r="D823" s="168">
        <v>49</v>
      </c>
      <c r="E823" s="168" t="s">
        <v>1083</v>
      </c>
    </row>
    <row r="824" spans="1:5" ht="12.75">
      <c r="A824" s="167" t="s">
        <v>645</v>
      </c>
      <c r="B824" s="168">
        <v>310</v>
      </c>
      <c r="C824" s="167" t="s">
        <v>603</v>
      </c>
      <c r="D824" s="168">
        <v>131</v>
      </c>
      <c r="E824" s="168">
        <v>3</v>
      </c>
    </row>
    <row r="825" spans="1:5" ht="12.75">
      <c r="A825" s="167" t="s">
        <v>646</v>
      </c>
      <c r="B825" s="168">
        <v>313</v>
      </c>
      <c r="C825" s="167" t="s">
        <v>647</v>
      </c>
      <c r="D825" s="168">
        <v>217</v>
      </c>
      <c r="E825" s="168">
        <v>31</v>
      </c>
    </row>
    <row r="826" spans="1:5" ht="12.75">
      <c r="A826" s="167" t="s">
        <v>648</v>
      </c>
      <c r="B826" s="168">
        <v>313</v>
      </c>
      <c r="C826" s="167" t="s">
        <v>647</v>
      </c>
      <c r="D826" s="168">
        <v>208</v>
      </c>
      <c r="E826" s="168" t="s">
        <v>1083</v>
      </c>
    </row>
    <row r="827" spans="1:5" ht="12.75">
      <c r="A827" s="167" t="s">
        <v>649</v>
      </c>
      <c r="B827" s="168">
        <v>313</v>
      </c>
      <c r="C827" s="167" t="s">
        <v>647</v>
      </c>
      <c r="D827" s="168">
        <v>88</v>
      </c>
      <c r="E827" s="168">
        <v>1</v>
      </c>
    </row>
    <row r="828" spans="1:5" ht="12.75">
      <c r="A828" s="167" t="s">
        <v>650</v>
      </c>
      <c r="B828" s="168">
        <v>313</v>
      </c>
      <c r="C828" s="167" t="s">
        <v>647</v>
      </c>
      <c r="D828" s="168">
        <v>234</v>
      </c>
      <c r="E828" s="168" t="s">
        <v>1083</v>
      </c>
    </row>
    <row r="829" spans="1:5" ht="12.75">
      <c r="A829" s="167" t="s">
        <v>651</v>
      </c>
      <c r="B829" s="168">
        <v>313</v>
      </c>
      <c r="C829" s="167" t="s">
        <v>647</v>
      </c>
      <c r="D829" s="168">
        <v>129</v>
      </c>
      <c r="E829" s="168" t="s">
        <v>1083</v>
      </c>
    </row>
    <row r="830" spans="1:5" ht="12.75">
      <c r="A830" s="167" t="s">
        <v>652</v>
      </c>
      <c r="B830" s="168">
        <v>313</v>
      </c>
      <c r="C830" s="167" t="s">
        <v>647</v>
      </c>
      <c r="D830" s="168">
        <v>130</v>
      </c>
      <c r="E830" s="168" t="s">
        <v>1083</v>
      </c>
    </row>
    <row r="831" spans="1:5" ht="12.75">
      <c r="A831" s="167" t="s">
        <v>653</v>
      </c>
      <c r="B831" s="168">
        <v>313</v>
      </c>
      <c r="C831" s="167" t="s">
        <v>647</v>
      </c>
      <c r="D831" s="168">
        <v>2</v>
      </c>
      <c r="E831" s="168">
        <v>7</v>
      </c>
    </row>
    <row r="832" spans="1:5" ht="12.75">
      <c r="A832" s="167" t="s">
        <v>654</v>
      </c>
      <c r="B832" s="168">
        <v>313</v>
      </c>
      <c r="C832" s="167" t="s">
        <v>647</v>
      </c>
      <c r="D832" s="168">
        <v>89</v>
      </c>
      <c r="E832" s="168" t="s">
        <v>1083</v>
      </c>
    </row>
    <row r="833" spans="1:5" ht="12.75">
      <c r="A833" s="167" t="s">
        <v>655</v>
      </c>
      <c r="B833" s="168">
        <v>313</v>
      </c>
      <c r="C833" s="167" t="s">
        <v>647</v>
      </c>
      <c r="D833" s="168">
        <v>40</v>
      </c>
      <c r="E833" s="168">
        <v>15</v>
      </c>
    </row>
    <row r="834" spans="1:5" ht="12.75">
      <c r="A834" s="167" t="s">
        <v>656</v>
      </c>
      <c r="B834" s="168">
        <v>313</v>
      </c>
      <c r="C834" s="167" t="s">
        <v>647</v>
      </c>
      <c r="D834" s="168">
        <v>139</v>
      </c>
      <c r="E834" s="168" t="s">
        <v>1083</v>
      </c>
    </row>
    <row r="835" spans="1:5" ht="12.75">
      <c r="A835" s="167" t="s">
        <v>657</v>
      </c>
      <c r="B835" s="168">
        <v>313</v>
      </c>
      <c r="C835" s="167" t="s">
        <v>647</v>
      </c>
      <c r="D835" s="168">
        <v>192</v>
      </c>
      <c r="E835" s="168" t="s">
        <v>1083</v>
      </c>
    </row>
    <row r="836" spans="1:5" ht="12.75">
      <c r="A836" s="167" t="s">
        <v>658</v>
      </c>
      <c r="B836" s="168">
        <v>313</v>
      </c>
      <c r="C836" s="167" t="s">
        <v>647</v>
      </c>
      <c r="D836" s="168">
        <v>161</v>
      </c>
      <c r="E836" s="168" t="s">
        <v>1083</v>
      </c>
    </row>
    <row r="837" spans="1:5" ht="12.75">
      <c r="A837" s="167" t="s">
        <v>659</v>
      </c>
      <c r="B837" s="168">
        <v>313</v>
      </c>
      <c r="C837" s="167" t="s">
        <v>647</v>
      </c>
      <c r="D837" s="168">
        <v>230</v>
      </c>
      <c r="E837" s="168">
        <v>27</v>
      </c>
    </row>
    <row r="838" spans="1:5" ht="12.75">
      <c r="A838" s="167" t="s">
        <v>660</v>
      </c>
      <c r="B838" s="168">
        <v>313</v>
      </c>
      <c r="C838" s="167" t="s">
        <v>647</v>
      </c>
      <c r="D838" s="168">
        <v>91</v>
      </c>
      <c r="E838" s="168">
        <v>2</v>
      </c>
    </row>
    <row r="839" spans="1:5" ht="12.75">
      <c r="A839" s="167" t="s">
        <v>661</v>
      </c>
      <c r="B839" s="168">
        <v>313</v>
      </c>
      <c r="C839" s="167" t="s">
        <v>647</v>
      </c>
      <c r="D839" s="168">
        <v>3</v>
      </c>
      <c r="E839" s="168">
        <v>18</v>
      </c>
    </row>
    <row r="840" spans="1:5" ht="12.75">
      <c r="A840" s="167" t="s">
        <v>663</v>
      </c>
      <c r="B840" s="168">
        <v>313</v>
      </c>
      <c r="C840" s="167" t="s">
        <v>647</v>
      </c>
      <c r="D840" s="168">
        <v>4</v>
      </c>
      <c r="E840" s="168">
        <v>21</v>
      </c>
    </row>
    <row r="841" spans="1:5" ht="12.75">
      <c r="A841" s="167" t="s">
        <v>664</v>
      </c>
      <c r="B841" s="168">
        <v>313</v>
      </c>
      <c r="C841" s="167" t="s">
        <v>647</v>
      </c>
      <c r="D841" s="168">
        <v>116</v>
      </c>
      <c r="E841" s="168">
        <v>34</v>
      </c>
    </row>
    <row r="842" spans="1:5" ht="12.75">
      <c r="A842" s="167" t="s">
        <v>665</v>
      </c>
      <c r="B842" s="168">
        <v>313</v>
      </c>
      <c r="C842" s="167" t="s">
        <v>647</v>
      </c>
      <c r="D842" s="168">
        <v>5</v>
      </c>
      <c r="E842" s="168">
        <v>19</v>
      </c>
    </row>
    <row r="843" spans="1:5" ht="12.75">
      <c r="A843" s="167" t="s">
        <v>666</v>
      </c>
      <c r="B843" s="168">
        <v>313</v>
      </c>
      <c r="C843" s="167" t="s">
        <v>647</v>
      </c>
      <c r="D843" s="168">
        <v>6</v>
      </c>
      <c r="E843" s="168">
        <v>11</v>
      </c>
    </row>
    <row r="844" spans="1:5" ht="12.75">
      <c r="A844" s="167" t="s">
        <v>667</v>
      </c>
      <c r="B844" s="168">
        <v>313</v>
      </c>
      <c r="C844" s="167" t="s">
        <v>647</v>
      </c>
      <c r="D844" s="168">
        <v>7</v>
      </c>
      <c r="E844" s="168">
        <v>30</v>
      </c>
    </row>
    <row r="845" spans="1:5" ht="12.75">
      <c r="A845" s="167" t="s">
        <v>668</v>
      </c>
      <c r="B845" s="168">
        <v>313</v>
      </c>
      <c r="C845" s="167" t="s">
        <v>647</v>
      </c>
      <c r="D845" s="168">
        <v>196</v>
      </c>
      <c r="E845" s="168" t="s">
        <v>1083</v>
      </c>
    </row>
    <row r="846" spans="1:5" ht="12.75">
      <c r="A846" s="167" t="s">
        <v>669</v>
      </c>
      <c r="B846" s="168">
        <v>313</v>
      </c>
      <c r="C846" s="167" t="s">
        <v>647</v>
      </c>
      <c r="D846" s="168">
        <v>8</v>
      </c>
      <c r="E846" s="168">
        <v>20</v>
      </c>
    </row>
    <row r="847" spans="1:5" ht="12.75">
      <c r="A847" s="167" t="s">
        <v>670</v>
      </c>
      <c r="B847" s="168">
        <v>313</v>
      </c>
      <c r="C847" s="167" t="s">
        <v>647</v>
      </c>
      <c r="D847" s="168">
        <v>120</v>
      </c>
      <c r="E847" s="168" t="s">
        <v>1083</v>
      </c>
    </row>
    <row r="848" spans="1:5" ht="12.75">
      <c r="A848" s="167" t="s">
        <v>671</v>
      </c>
      <c r="B848" s="168">
        <v>313</v>
      </c>
      <c r="C848" s="167" t="s">
        <v>647</v>
      </c>
      <c r="D848" s="168">
        <v>25</v>
      </c>
      <c r="E848" s="168" t="s">
        <v>1083</v>
      </c>
    </row>
    <row r="849" spans="1:5" ht="12.75">
      <c r="A849" s="167" t="s">
        <v>672</v>
      </c>
      <c r="B849" s="168">
        <v>313</v>
      </c>
      <c r="C849" s="167" t="s">
        <v>647</v>
      </c>
      <c r="D849" s="168">
        <v>141</v>
      </c>
      <c r="E849" s="168" t="s">
        <v>1083</v>
      </c>
    </row>
    <row r="850" spans="1:5" ht="12.75">
      <c r="A850" s="167" t="s">
        <v>673</v>
      </c>
      <c r="B850" s="168">
        <v>313</v>
      </c>
      <c r="C850" s="167" t="s">
        <v>647</v>
      </c>
      <c r="D850" s="168">
        <v>142</v>
      </c>
      <c r="E850" s="168" t="s">
        <v>1083</v>
      </c>
    </row>
    <row r="851" spans="1:5" ht="12.75">
      <c r="A851" s="167" t="s">
        <v>674</v>
      </c>
      <c r="B851" s="168">
        <v>313</v>
      </c>
      <c r="C851" s="167" t="s">
        <v>647</v>
      </c>
      <c r="D851" s="168">
        <v>96</v>
      </c>
      <c r="E851" s="168">
        <v>28</v>
      </c>
    </row>
    <row r="852" spans="1:5" ht="12.75">
      <c r="A852" s="167" t="s">
        <v>675</v>
      </c>
      <c r="B852" s="168">
        <v>313</v>
      </c>
      <c r="C852" s="167" t="s">
        <v>647</v>
      </c>
      <c r="D852" s="168">
        <v>133</v>
      </c>
      <c r="E852" s="168" t="s">
        <v>1083</v>
      </c>
    </row>
    <row r="853" spans="1:5" ht="12.75">
      <c r="A853" s="167" t="s">
        <v>676</v>
      </c>
      <c r="B853" s="168">
        <v>313</v>
      </c>
      <c r="C853" s="167" t="s">
        <v>647</v>
      </c>
      <c r="D853" s="168">
        <v>231</v>
      </c>
      <c r="E853" s="168">
        <v>25</v>
      </c>
    </row>
    <row r="854" spans="1:5" ht="12.75">
      <c r="A854" s="167" t="s">
        <v>677</v>
      </c>
      <c r="B854" s="168">
        <v>313</v>
      </c>
      <c r="C854" s="167" t="s">
        <v>647</v>
      </c>
      <c r="D854" s="168">
        <v>219</v>
      </c>
      <c r="E854" s="168">
        <v>33</v>
      </c>
    </row>
    <row r="855" spans="1:5" ht="12.75">
      <c r="A855" s="167" t="s">
        <v>678</v>
      </c>
      <c r="B855" s="168">
        <v>313</v>
      </c>
      <c r="C855" s="167" t="s">
        <v>647</v>
      </c>
      <c r="D855" s="168">
        <v>98</v>
      </c>
      <c r="E855" s="168">
        <v>16</v>
      </c>
    </row>
    <row r="856" spans="1:5" ht="12.75">
      <c r="A856" s="167" t="s">
        <v>679</v>
      </c>
      <c r="B856" s="168">
        <v>313</v>
      </c>
      <c r="C856" s="167" t="s">
        <v>647</v>
      </c>
      <c r="D856" s="168">
        <v>9</v>
      </c>
      <c r="E856" s="168" t="s">
        <v>1083</v>
      </c>
    </row>
    <row r="857" spans="1:5" ht="12.75">
      <c r="A857" s="167" t="s">
        <v>680</v>
      </c>
      <c r="B857" s="168">
        <v>313</v>
      </c>
      <c r="C857" s="167" t="s">
        <v>647</v>
      </c>
      <c r="D857" s="168">
        <v>11</v>
      </c>
      <c r="E857" s="168">
        <v>3</v>
      </c>
    </row>
    <row r="858" spans="1:5" ht="12.75">
      <c r="A858" s="167" t="s">
        <v>681</v>
      </c>
      <c r="B858" s="168">
        <v>313</v>
      </c>
      <c r="C858" s="167" t="s">
        <v>647</v>
      </c>
      <c r="D858" s="168">
        <v>53</v>
      </c>
      <c r="E858" s="168" t="s">
        <v>1083</v>
      </c>
    </row>
    <row r="859" spans="1:5" ht="12.75">
      <c r="A859" s="167" t="s">
        <v>682</v>
      </c>
      <c r="B859" s="168">
        <v>313</v>
      </c>
      <c r="C859" s="167" t="s">
        <v>647</v>
      </c>
      <c r="D859" s="168">
        <v>197</v>
      </c>
      <c r="E859" s="168">
        <v>35</v>
      </c>
    </row>
    <row r="860" spans="1:5" ht="12.75">
      <c r="A860" s="167" t="s">
        <v>683</v>
      </c>
      <c r="B860" s="168">
        <v>313</v>
      </c>
      <c r="C860" s="167" t="s">
        <v>647</v>
      </c>
      <c r="D860" s="168">
        <v>125</v>
      </c>
      <c r="E860" s="168" t="s">
        <v>1083</v>
      </c>
    </row>
    <row r="861" spans="1:5" ht="12.75">
      <c r="A861" s="167" t="s">
        <v>684</v>
      </c>
      <c r="B861" s="168">
        <v>313</v>
      </c>
      <c r="C861" s="167" t="s">
        <v>647</v>
      </c>
      <c r="D861" s="168">
        <v>13</v>
      </c>
      <c r="E861" s="168">
        <v>13</v>
      </c>
    </row>
    <row r="862" spans="1:5" ht="12.75">
      <c r="A862" s="167" t="s">
        <v>685</v>
      </c>
      <c r="B862" s="168">
        <v>313</v>
      </c>
      <c r="C862" s="167" t="s">
        <v>647</v>
      </c>
      <c r="D862" s="168">
        <v>211</v>
      </c>
      <c r="E862" s="168">
        <v>12</v>
      </c>
    </row>
    <row r="863" spans="1:5" ht="12.75">
      <c r="A863" s="167" t="s">
        <v>686</v>
      </c>
      <c r="B863" s="168">
        <v>313</v>
      </c>
      <c r="C863" s="167" t="s">
        <v>647</v>
      </c>
      <c r="D863" s="168">
        <v>222</v>
      </c>
      <c r="E863" s="168">
        <v>9</v>
      </c>
    </row>
    <row r="864" spans="1:5" ht="12.75">
      <c r="A864" s="167" t="s">
        <v>687</v>
      </c>
      <c r="B864" s="168">
        <v>313</v>
      </c>
      <c r="C864" s="167" t="s">
        <v>647</v>
      </c>
      <c r="D864" s="168">
        <v>26</v>
      </c>
      <c r="E864" s="168">
        <v>32</v>
      </c>
    </row>
    <row r="865" spans="1:5" ht="12.75">
      <c r="A865" s="167" t="s">
        <v>688</v>
      </c>
      <c r="B865" s="168">
        <v>313</v>
      </c>
      <c r="C865" s="167" t="s">
        <v>647</v>
      </c>
      <c r="D865" s="168">
        <v>168</v>
      </c>
      <c r="E865" s="168" t="s">
        <v>1083</v>
      </c>
    </row>
    <row r="866" spans="1:5" ht="12.75">
      <c r="A866" s="167" t="s">
        <v>689</v>
      </c>
      <c r="B866" s="168">
        <v>313</v>
      </c>
      <c r="C866" s="167" t="s">
        <v>647</v>
      </c>
      <c r="D866" s="168">
        <v>15</v>
      </c>
      <c r="E866" s="168" t="s">
        <v>1083</v>
      </c>
    </row>
    <row r="867" spans="1:5" ht="12.75">
      <c r="A867" s="167" t="s">
        <v>690</v>
      </c>
      <c r="B867" s="168">
        <v>313</v>
      </c>
      <c r="C867" s="167" t="s">
        <v>647</v>
      </c>
      <c r="D867" s="168">
        <v>57</v>
      </c>
      <c r="E867" s="168">
        <v>22</v>
      </c>
    </row>
    <row r="868" spans="1:5" ht="12.75">
      <c r="A868" s="167" t="s">
        <v>691</v>
      </c>
      <c r="B868" s="168">
        <v>313</v>
      </c>
      <c r="C868" s="167" t="s">
        <v>647</v>
      </c>
      <c r="D868" s="168">
        <v>171</v>
      </c>
      <c r="E868" s="168" t="s">
        <v>1083</v>
      </c>
    </row>
    <row r="869" spans="1:5" ht="12.75">
      <c r="A869" s="167" t="s">
        <v>692</v>
      </c>
      <c r="B869" s="168">
        <v>313</v>
      </c>
      <c r="C869" s="167" t="s">
        <v>647</v>
      </c>
      <c r="D869" s="168">
        <v>224</v>
      </c>
      <c r="E869" s="168" t="s">
        <v>1083</v>
      </c>
    </row>
    <row r="870" spans="1:5" ht="12.75">
      <c r="A870" s="167" t="s">
        <v>693</v>
      </c>
      <c r="B870" s="168">
        <v>313</v>
      </c>
      <c r="C870" s="167" t="s">
        <v>647</v>
      </c>
      <c r="D870" s="168">
        <v>173</v>
      </c>
      <c r="E870" s="168" t="s">
        <v>1083</v>
      </c>
    </row>
    <row r="871" spans="1:5" ht="12.75">
      <c r="A871" s="167" t="s">
        <v>694</v>
      </c>
      <c r="B871" s="168">
        <v>313</v>
      </c>
      <c r="C871" s="167" t="s">
        <v>647</v>
      </c>
      <c r="D871" s="168">
        <v>101</v>
      </c>
      <c r="E871" s="168" t="s">
        <v>1083</v>
      </c>
    </row>
    <row r="872" spans="1:5" ht="12.75">
      <c r="A872" s="167" t="s">
        <v>695</v>
      </c>
      <c r="B872" s="168">
        <v>313</v>
      </c>
      <c r="C872" s="167" t="s">
        <v>647</v>
      </c>
      <c r="D872" s="168">
        <v>61</v>
      </c>
      <c r="E872" s="168" t="s">
        <v>1083</v>
      </c>
    </row>
    <row r="873" spans="1:5" ht="12.75">
      <c r="A873" s="167" t="s">
        <v>696</v>
      </c>
      <c r="B873" s="168">
        <v>313</v>
      </c>
      <c r="C873" s="167" t="s">
        <v>647</v>
      </c>
      <c r="D873" s="168">
        <v>104</v>
      </c>
      <c r="E873" s="168">
        <v>5</v>
      </c>
    </row>
    <row r="874" spans="1:5" ht="12.75">
      <c r="A874" s="167" t="s">
        <v>697</v>
      </c>
      <c r="B874" s="168">
        <v>313</v>
      </c>
      <c r="C874" s="167" t="s">
        <v>647</v>
      </c>
      <c r="D874" s="168">
        <v>177</v>
      </c>
      <c r="E874" s="168" t="s">
        <v>1083</v>
      </c>
    </row>
    <row r="875" spans="1:5" ht="12.75">
      <c r="A875" s="167" t="s">
        <v>698</v>
      </c>
      <c r="B875" s="168">
        <v>313</v>
      </c>
      <c r="C875" s="167" t="s">
        <v>647</v>
      </c>
      <c r="D875" s="168">
        <v>126</v>
      </c>
      <c r="E875" s="168" t="s">
        <v>1083</v>
      </c>
    </row>
    <row r="876" spans="1:5" ht="12.75">
      <c r="A876" s="167" t="s">
        <v>699</v>
      </c>
      <c r="B876" s="168">
        <v>313</v>
      </c>
      <c r="C876" s="167" t="s">
        <v>647</v>
      </c>
      <c r="D876" s="168">
        <v>152</v>
      </c>
      <c r="E876" s="168" t="s">
        <v>1083</v>
      </c>
    </row>
    <row r="877" spans="1:5" ht="12.75">
      <c r="A877" s="167" t="s">
        <v>700</v>
      </c>
      <c r="B877" s="168">
        <v>313</v>
      </c>
      <c r="C877" s="167" t="s">
        <v>647</v>
      </c>
      <c r="D877" s="168">
        <v>232</v>
      </c>
      <c r="E877" s="168">
        <v>26</v>
      </c>
    </row>
    <row r="878" spans="1:5" ht="12.75">
      <c r="A878" s="167" t="s">
        <v>701</v>
      </c>
      <c r="B878" s="168">
        <v>313</v>
      </c>
      <c r="C878" s="167" t="s">
        <v>647</v>
      </c>
      <c r="D878" s="168">
        <v>202</v>
      </c>
      <c r="E878" s="168" t="s">
        <v>1083</v>
      </c>
    </row>
    <row r="879" spans="1:5" ht="12.75">
      <c r="A879" s="167" t="s">
        <v>702</v>
      </c>
      <c r="B879" s="168">
        <v>313</v>
      </c>
      <c r="C879" s="167" t="s">
        <v>647</v>
      </c>
      <c r="D879" s="168">
        <v>155</v>
      </c>
      <c r="E879" s="168">
        <v>6</v>
      </c>
    </row>
    <row r="880" spans="1:5" ht="12.75">
      <c r="A880" s="167" t="s">
        <v>703</v>
      </c>
      <c r="B880" s="168">
        <v>313</v>
      </c>
      <c r="C880" s="167" t="s">
        <v>647</v>
      </c>
      <c r="D880" s="168">
        <v>127</v>
      </c>
      <c r="E880" s="168" t="s">
        <v>1083</v>
      </c>
    </row>
    <row r="881" spans="1:5" ht="12.75">
      <c r="A881" s="167" t="s">
        <v>704</v>
      </c>
      <c r="B881" s="168">
        <v>313</v>
      </c>
      <c r="C881" s="167" t="s">
        <v>647</v>
      </c>
      <c r="D881" s="168">
        <v>223</v>
      </c>
      <c r="E881" s="168" t="s">
        <v>1083</v>
      </c>
    </row>
    <row r="882" spans="1:5" ht="12.75">
      <c r="A882" s="167" t="s">
        <v>705</v>
      </c>
      <c r="B882" s="168">
        <v>313</v>
      </c>
      <c r="C882" s="167" t="s">
        <v>647</v>
      </c>
      <c r="D882" s="168">
        <v>212</v>
      </c>
      <c r="E882" s="168" t="s">
        <v>1083</v>
      </c>
    </row>
    <row r="883" spans="1:5" ht="12.75">
      <c r="A883" s="167" t="s">
        <v>706</v>
      </c>
      <c r="B883" s="168">
        <v>313</v>
      </c>
      <c r="C883" s="167" t="s">
        <v>647</v>
      </c>
      <c r="D883" s="168">
        <v>71</v>
      </c>
      <c r="E883" s="168">
        <v>24</v>
      </c>
    </row>
    <row r="884" spans="1:5" ht="12.75">
      <c r="A884" s="167" t="s">
        <v>707</v>
      </c>
      <c r="B884" s="168">
        <v>313</v>
      </c>
      <c r="C884" s="167" t="s">
        <v>647</v>
      </c>
      <c r="D884" s="168">
        <v>184</v>
      </c>
      <c r="E884" s="168" t="s">
        <v>1083</v>
      </c>
    </row>
    <row r="885" spans="1:5" ht="12.75">
      <c r="A885" s="167" t="s">
        <v>708</v>
      </c>
      <c r="B885" s="168">
        <v>313</v>
      </c>
      <c r="C885" s="167" t="s">
        <v>647</v>
      </c>
      <c r="D885" s="168">
        <v>33</v>
      </c>
      <c r="E885" s="168">
        <v>14</v>
      </c>
    </row>
    <row r="886" spans="1:5" ht="12.75">
      <c r="A886" s="167" t="s">
        <v>709</v>
      </c>
      <c r="B886" s="168">
        <v>313</v>
      </c>
      <c r="C886" s="167" t="s">
        <v>647</v>
      </c>
      <c r="D886" s="168">
        <v>75</v>
      </c>
      <c r="E886" s="168" t="s">
        <v>1083</v>
      </c>
    </row>
    <row r="887" spans="1:5" ht="12.75">
      <c r="A887" s="167" t="s">
        <v>710</v>
      </c>
      <c r="B887" s="168">
        <v>313</v>
      </c>
      <c r="C887" s="167" t="s">
        <v>647</v>
      </c>
      <c r="D887" s="168">
        <v>136</v>
      </c>
      <c r="E887" s="168" t="s">
        <v>1083</v>
      </c>
    </row>
    <row r="888" spans="1:5" ht="12.75">
      <c r="A888" s="167" t="s">
        <v>711</v>
      </c>
      <c r="B888" s="168">
        <v>313</v>
      </c>
      <c r="C888" s="167" t="s">
        <v>647</v>
      </c>
      <c r="D888" s="168">
        <v>221</v>
      </c>
      <c r="E888" s="168" t="s">
        <v>1083</v>
      </c>
    </row>
    <row r="889" spans="1:5" ht="12.75">
      <c r="A889" s="167" t="s">
        <v>712</v>
      </c>
      <c r="B889" s="168">
        <v>313</v>
      </c>
      <c r="C889" s="167" t="s">
        <v>647</v>
      </c>
      <c r="D889" s="168">
        <v>20</v>
      </c>
      <c r="E889" s="168">
        <v>10</v>
      </c>
    </row>
    <row r="890" spans="1:5" ht="12.75">
      <c r="A890" s="167" t="s">
        <v>713</v>
      </c>
      <c r="B890" s="168">
        <v>313</v>
      </c>
      <c r="C890" s="167" t="s">
        <v>647</v>
      </c>
      <c r="D890" s="168">
        <v>233</v>
      </c>
      <c r="E890" s="168">
        <v>23</v>
      </c>
    </row>
    <row r="891" spans="1:5" ht="12.75">
      <c r="A891" s="167" t="s">
        <v>714</v>
      </c>
      <c r="B891" s="168">
        <v>313</v>
      </c>
      <c r="C891" s="167" t="s">
        <v>647</v>
      </c>
      <c r="D891" s="168">
        <v>77</v>
      </c>
      <c r="E891" s="168" t="s">
        <v>1083</v>
      </c>
    </row>
    <row r="892" spans="1:5" ht="12.75">
      <c r="A892" s="167" t="s">
        <v>715</v>
      </c>
      <c r="B892" s="168">
        <v>313</v>
      </c>
      <c r="C892" s="167" t="s">
        <v>647</v>
      </c>
      <c r="D892" s="168">
        <v>109</v>
      </c>
      <c r="E892" s="168" t="s">
        <v>1083</v>
      </c>
    </row>
    <row r="893" spans="1:5" ht="12.75">
      <c r="A893" s="167" t="s">
        <v>716</v>
      </c>
      <c r="B893" s="168">
        <v>313</v>
      </c>
      <c r="C893" s="167" t="s">
        <v>647</v>
      </c>
      <c r="D893" s="168">
        <v>227</v>
      </c>
      <c r="E893" s="168">
        <v>29</v>
      </c>
    </row>
    <row r="894" spans="1:5" ht="12.75">
      <c r="A894" s="167" t="s">
        <v>717</v>
      </c>
      <c r="B894" s="168">
        <v>313</v>
      </c>
      <c r="C894" s="167" t="s">
        <v>647</v>
      </c>
      <c r="D894" s="168">
        <v>205</v>
      </c>
      <c r="E894" s="168" t="s">
        <v>1083</v>
      </c>
    </row>
    <row r="895" spans="1:5" ht="12.75">
      <c r="A895" s="167" t="s">
        <v>718</v>
      </c>
      <c r="B895" s="168">
        <v>313</v>
      </c>
      <c r="C895" s="167" t="s">
        <v>647</v>
      </c>
      <c r="D895" s="168">
        <v>228</v>
      </c>
      <c r="E895" s="168">
        <v>8</v>
      </c>
    </row>
    <row r="896" spans="1:5" ht="12.75">
      <c r="A896" s="167" t="s">
        <v>719</v>
      </c>
      <c r="B896" s="168">
        <v>313</v>
      </c>
      <c r="C896" s="167" t="s">
        <v>647</v>
      </c>
      <c r="D896" s="168">
        <v>23</v>
      </c>
      <c r="E896" s="168">
        <v>17</v>
      </c>
    </row>
    <row r="897" spans="1:5" ht="12.75">
      <c r="A897" s="167" t="s">
        <v>720</v>
      </c>
      <c r="B897" s="168">
        <v>313</v>
      </c>
      <c r="C897" s="167" t="s">
        <v>647</v>
      </c>
      <c r="D897" s="168">
        <v>214</v>
      </c>
      <c r="E897" s="168">
        <v>37</v>
      </c>
    </row>
    <row r="898" spans="1:5" ht="12.75">
      <c r="A898" s="167" t="s">
        <v>721</v>
      </c>
      <c r="B898" s="168">
        <v>313</v>
      </c>
      <c r="C898" s="167" t="s">
        <v>647</v>
      </c>
      <c r="D898" s="168">
        <v>215</v>
      </c>
      <c r="E898" s="168">
        <v>36</v>
      </c>
    </row>
    <row r="899" spans="1:5" ht="12.75">
      <c r="A899" s="167" t="s">
        <v>722</v>
      </c>
      <c r="B899" s="168">
        <v>313</v>
      </c>
      <c r="C899" s="167" t="s">
        <v>647</v>
      </c>
      <c r="D899" s="168">
        <v>24</v>
      </c>
      <c r="E899" s="168">
        <v>4</v>
      </c>
    </row>
    <row r="900" spans="1:5" ht="12.75">
      <c r="A900" s="167" t="s">
        <v>723</v>
      </c>
      <c r="B900" s="168">
        <v>313</v>
      </c>
      <c r="C900" s="167" t="s">
        <v>647</v>
      </c>
      <c r="D900" s="168">
        <v>190</v>
      </c>
      <c r="E900" s="168" t="s">
        <v>1083</v>
      </c>
    </row>
    <row r="901" spans="1:5" ht="12.75">
      <c r="A901" s="167" t="s">
        <v>724</v>
      </c>
      <c r="B901" s="168">
        <v>313</v>
      </c>
      <c r="C901" s="167" t="s">
        <v>647</v>
      </c>
      <c r="D901" s="168">
        <v>113</v>
      </c>
      <c r="E901" s="168">
        <v>38</v>
      </c>
    </row>
    <row r="902" spans="1:5" ht="12.75">
      <c r="A902" s="167" t="s">
        <v>725</v>
      </c>
      <c r="B902" s="168">
        <v>313</v>
      </c>
      <c r="C902" s="167" t="s">
        <v>647</v>
      </c>
      <c r="D902" s="168">
        <v>114</v>
      </c>
      <c r="E902" s="168" t="s">
        <v>1083</v>
      </c>
    </row>
    <row r="903" spans="1:5" ht="12.75">
      <c r="A903" s="167" t="s">
        <v>726</v>
      </c>
      <c r="B903" s="168">
        <v>313</v>
      </c>
      <c r="C903" s="167" t="s">
        <v>647</v>
      </c>
      <c r="D903" s="168">
        <v>229</v>
      </c>
      <c r="E903" s="168" t="s">
        <v>1083</v>
      </c>
    </row>
    <row r="904" spans="1:5" ht="12.75">
      <c r="A904" s="167" t="s">
        <v>727</v>
      </c>
      <c r="B904" s="168">
        <v>313</v>
      </c>
      <c r="C904" s="167" t="s">
        <v>647</v>
      </c>
      <c r="D904" s="168">
        <v>216</v>
      </c>
      <c r="E904" s="168" t="s">
        <v>1083</v>
      </c>
    </row>
    <row r="905" spans="1:5" ht="12.75">
      <c r="A905" s="167" t="s">
        <v>728</v>
      </c>
      <c r="B905" s="168">
        <v>322</v>
      </c>
      <c r="C905" s="167" t="s">
        <v>729</v>
      </c>
      <c r="D905" s="168">
        <v>146</v>
      </c>
      <c r="E905" s="168" t="s">
        <v>1083</v>
      </c>
    </row>
    <row r="906" spans="1:5" ht="12.75">
      <c r="A906" s="167" t="s">
        <v>730</v>
      </c>
      <c r="B906" s="168">
        <v>322</v>
      </c>
      <c r="C906" s="167" t="s">
        <v>729</v>
      </c>
      <c r="D906" s="168">
        <v>145</v>
      </c>
      <c r="E906" s="168" t="s">
        <v>1083</v>
      </c>
    </row>
    <row r="907" spans="1:5" ht="12.75">
      <c r="A907" s="167" t="s">
        <v>731</v>
      </c>
      <c r="B907" s="168">
        <v>322</v>
      </c>
      <c r="C907" s="167" t="s">
        <v>729</v>
      </c>
      <c r="D907" s="168">
        <v>3</v>
      </c>
      <c r="E907" s="168">
        <v>5</v>
      </c>
    </row>
    <row r="908" spans="1:5" ht="12.75">
      <c r="A908" s="167" t="s">
        <v>650</v>
      </c>
      <c r="B908" s="168">
        <v>322</v>
      </c>
      <c r="C908" s="167" t="s">
        <v>729</v>
      </c>
      <c r="D908" s="168">
        <v>16</v>
      </c>
      <c r="E908" s="168">
        <v>6</v>
      </c>
    </row>
    <row r="909" spans="1:5" ht="12.75">
      <c r="A909" s="167" t="s">
        <v>732</v>
      </c>
      <c r="B909" s="168">
        <v>322</v>
      </c>
      <c r="C909" s="167" t="s">
        <v>729</v>
      </c>
      <c r="D909" s="168">
        <v>139</v>
      </c>
      <c r="E909" s="168" t="s">
        <v>1083</v>
      </c>
    </row>
    <row r="910" spans="1:5" ht="12.75">
      <c r="A910" s="167" t="s">
        <v>733</v>
      </c>
      <c r="B910" s="168">
        <v>322</v>
      </c>
      <c r="C910" s="167" t="s">
        <v>729</v>
      </c>
      <c r="D910" s="168">
        <v>124</v>
      </c>
      <c r="E910" s="168">
        <v>10</v>
      </c>
    </row>
    <row r="911" spans="1:5" ht="12.75">
      <c r="A911" s="167" t="s">
        <v>734</v>
      </c>
      <c r="B911" s="168">
        <v>322</v>
      </c>
      <c r="C911" s="167" t="s">
        <v>729</v>
      </c>
      <c r="D911" s="168">
        <v>100</v>
      </c>
      <c r="E911" s="168">
        <v>2</v>
      </c>
    </row>
    <row r="912" spans="1:5" ht="12.75">
      <c r="A912" s="167" t="s">
        <v>735</v>
      </c>
      <c r="B912" s="168">
        <v>322</v>
      </c>
      <c r="C912" s="167" t="s">
        <v>729</v>
      </c>
      <c r="D912" s="168">
        <v>108</v>
      </c>
      <c r="E912" s="168" t="s">
        <v>1083</v>
      </c>
    </row>
    <row r="913" spans="1:5" ht="12.75">
      <c r="A913" s="167" t="s">
        <v>736</v>
      </c>
      <c r="B913" s="168">
        <v>322</v>
      </c>
      <c r="C913" s="167" t="s">
        <v>729</v>
      </c>
      <c r="D913" s="168">
        <v>92</v>
      </c>
      <c r="E913" s="168" t="s">
        <v>1083</v>
      </c>
    </row>
    <row r="914" spans="1:5" ht="12.75">
      <c r="A914" s="167" t="s">
        <v>737</v>
      </c>
      <c r="B914" s="168">
        <v>322</v>
      </c>
      <c r="C914" s="167" t="s">
        <v>729</v>
      </c>
      <c r="D914" s="168">
        <v>129</v>
      </c>
      <c r="E914" s="168" t="s">
        <v>1083</v>
      </c>
    </row>
    <row r="915" spans="1:5" ht="12.75">
      <c r="A915" s="167" t="s">
        <v>738</v>
      </c>
      <c r="B915" s="168">
        <v>322</v>
      </c>
      <c r="C915" s="167" t="s">
        <v>729</v>
      </c>
      <c r="D915" s="168">
        <v>42</v>
      </c>
      <c r="E915" s="168" t="s">
        <v>1083</v>
      </c>
    </row>
    <row r="916" spans="1:5" ht="12.75">
      <c r="A916" s="167" t="s">
        <v>739</v>
      </c>
      <c r="B916" s="168">
        <v>322</v>
      </c>
      <c r="C916" s="167" t="s">
        <v>729</v>
      </c>
      <c r="D916" s="168">
        <v>142</v>
      </c>
      <c r="E916" s="168">
        <v>14</v>
      </c>
    </row>
    <row r="917" spans="1:5" ht="12.75">
      <c r="A917" s="167" t="s">
        <v>740</v>
      </c>
      <c r="B917" s="168">
        <v>322</v>
      </c>
      <c r="C917" s="167" t="s">
        <v>729</v>
      </c>
      <c r="D917" s="168">
        <v>143</v>
      </c>
      <c r="E917" s="168">
        <v>15</v>
      </c>
    </row>
    <row r="918" spans="1:5" ht="12.75">
      <c r="A918" s="167" t="s">
        <v>741</v>
      </c>
      <c r="B918" s="168">
        <v>322</v>
      </c>
      <c r="C918" s="167" t="s">
        <v>729</v>
      </c>
      <c r="D918" s="168">
        <v>119</v>
      </c>
      <c r="E918" s="168">
        <v>3</v>
      </c>
    </row>
    <row r="919" spans="1:5" ht="12.75">
      <c r="A919" s="167" t="s">
        <v>742</v>
      </c>
      <c r="B919" s="168">
        <v>322</v>
      </c>
      <c r="C919" s="167" t="s">
        <v>729</v>
      </c>
      <c r="D919" s="168">
        <v>107</v>
      </c>
      <c r="E919" s="168" t="s">
        <v>1083</v>
      </c>
    </row>
    <row r="920" spans="1:5" ht="12.75">
      <c r="A920" s="167" t="s">
        <v>743</v>
      </c>
      <c r="B920" s="168">
        <v>322</v>
      </c>
      <c r="C920" s="167" t="s">
        <v>729</v>
      </c>
      <c r="D920" s="168">
        <v>7</v>
      </c>
      <c r="E920" s="168" t="s">
        <v>1083</v>
      </c>
    </row>
    <row r="921" spans="1:5" ht="12.75">
      <c r="A921" s="167" t="s">
        <v>744</v>
      </c>
      <c r="B921" s="168">
        <v>322</v>
      </c>
      <c r="C921" s="167" t="s">
        <v>729</v>
      </c>
      <c r="D921" s="168">
        <v>112</v>
      </c>
      <c r="E921" s="168" t="s">
        <v>1083</v>
      </c>
    </row>
    <row r="922" spans="1:5" ht="12.75">
      <c r="A922" s="167" t="s">
        <v>745</v>
      </c>
      <c r="B922" s="168">
        <v>322</v>
      </c>
      <c r="C922" s="167" t="s">
        <v>729</v>
      </c>
      <c r="D922" s="168">
        <v>140</v>
      </c>
      <c r="E922" s="168">
        <v>4</v>
      </c>
    </row>
    <row r="923" spans="1:5" ht="12.75">
      <c r="A923" s="167" t="s">
        <v>746</v>
      </c>
      <c r="B923" s="168">
        <v>322</v>
      </c>
      <c r="C923" s="167" t="s">
        <v>729</v>
      </c>
      <c r="D923" s="168">
        <v>113</v>
      </c>
      <c r="E923" s="168" t="s">
        <v>1083</v>
      </c>
    </row>
    <row r="924" spans="1:5" ht="12.75">
      <c r="A924" s="167" t="s">
        <v>747</v>
      </c>
      <c r="B924" s="168">
        <v>322</v>
      </c>
      <c r="C924" s="167" t="s">
        <v>729</v>
      </c>
      <c r="D924" s="168">
        <v>104</v>
      </c>
      <c r="E924" s="168" t="s">
        <v>1083</v>
      </c>
    </row>
    <row r="925" spans="1:5" ht="12.75">
      <c r="A925" s="167" t="s">
        <v>748</v>
      </c>
      <c r="B925" s="168">
        <v>322</v>
      </c>
      <c r="C925" s="167" t="s">
        <v>729</v>
      </c>
      <c r="D925" s="168">
        <v>109</v>
      </c>
      <c r="E925" s="168" t="s">
        <v>1083</v>
      </c>
    </row>
    <row r="926" spans="1:5" ht="12.75">
      <c r="A926" s="167" t="s">
        <v>749</v>
      </c>
      <c r="B926" s="168">
        <v>322</v>
      </c>
      <c r="C926" s="167" t="s">
        <v>729</v>
      </c>
      <c r="D926" s="168">
        <v>11</v>
      </c>
      <c r="E926" s="168">
        <v>7</v>
      </c>
    </row>
    <row r="927" spans="1:5" ht="12.75">
      <c r="A927" s="167" t="s">
        <v>169</v>
      </c>
      <c r="B927" s="168">
        <v>322</v>
      </c>
      <c r="C927" s="167" t="s">
        <v>729</v>
      </c>
      <c r="D927" s="168">
        <v>12</v>
      </c>
      <c r="E927" s="168" t="s">
        <v>1083</v>
      </c>
    </row>
    <row r="928" spans="1:5" ht="12.75">
      <c r="A928" s="167" t="s">
        <v>750</v>
      </c>
      <c r="B928" s="168">
        <v>322</v>
      </c>
      <c r="C928" s="167" t="s">
        <v>729</v>
      </c>
      <c r="D928" s="168">
        <v>141</v>
      </c>
      <c r="E928" s="168">
        <v>16</v>
      </c>
    </row>
    <row r="929" spans="1:5" ht="12.75">
      <c r="A929" s="167" t="s">
        <v>751</v>
      </c>
      <c r="B929" s="168">
        <v>322</v>
      </c>
      <c r="C929" s="167" t="s">
        <v>729</v>
      </c>
      <c r="D929" s="168">
        <v>13</v>
      </c>
      <c r="E929" s="168" t="s">
        <v>1083</v>
      </c>
    </row>
    <row r="930" spans="1:5" ht="12.75">
      <c r="A930" s="167" t="s">
        <v>752</v>
      </c>
      <c r="B930" s="168">
        <v>322</v>
      </c>
      <c r="C930" s="167" t="s">
        <v>729</v>
      </c>
      <c r="D930" s="168">
        <v>86</v>
      </c>
      <c r="E930" s="168">
        <v>11</v>
      </c>
    </row>
    <row r="931" spans="1:5" ht="12.75">
      <c r="A931" s="167" t="s">
        <v>690</v>
      </c>
      <c r="B931" s="168">
        <v>322</v>
      </c>
      <c r="C931" s="167" t="s">
        <v>729</v>
      </c>
      <c r="D931" s="168">
        <v>91</v>
      </c>
      <c r="E931" s="168" t="s">
        <v>1083</v>
      </c>
    </row>
    <row r="932" spans="1:5" ht="12.75">
      <c r="A932" s="167" t="s">
        <v>753</v>
      </c>
      <c r="B932" s="168">
        <v>322</v>
      </c>
      <c r="C932" s="167" t="s">
        <v>729</v>
      </c>
      <c r="D932" s="168">
        <v>72</v>
      </c>
      <c r="E932" s="168">
        <v>18</v>
      </c>
    </row>
    <row r="933" spans="1:5" ht="12.75">
      <c r="A933" s="167" t="s">
        <v>754</v>
      </c>
      <c r="B933" s="168">
        <v>322</v>
      </c>
      <c r="C933" s="167" t="s">
        <v>729</v>
      </c>
      <c r="D933" s="168">
        <v>134</v>
      </c>
      <c r="E933" s="168">
        <v>12</v>
      </c>
    </row>
    <row r="934" spans="1:5" ht="12.75">
      <c r="A934" s="167" t="s">
        <v>755</v>
      </c>
      <c r="B934" s="168">
        <v>322</v>
      </c>
      <c r="C934" s="167" t="s">
        <v>729</v>
      </c>
      <c r="D934" s="168">
        <v>20</v>
      </c>
      <c r="E934" s="168" t="s">
        <v>1083</v>
      </c>
    </row>
    <row r="935" spans="1:5" ht="12.75">
      <c r="A935" s="167" t="s">
        <v>756</v>
      </c>
      <c r="B935" s="168">
        <v>322</v>
      </c>
      <c r="C935" s="167" t="s">
        <v>729</v>
      </c>
      <c r="D935" s="168">
        <v>25</v>
      </c>
      <c r="E935" s="168" t="s">
        <v>1083</v>
      </c>
    </row>
    <row r="936" spans="1:5" ht="12.75">
      <c r="A936" s="167" t="s">
        <v>757</v>
      </c>
      <c r="B936" s="168">
        <v>322</v>
      </c>
      <c r="C936" s="167" t="s">
        <v>729</v>
      </c>
      <c r="D936" s="168">
        <v>27</v>
      </c>
      <c r="E936" s="168">
        <v>1</v>
      </c>
    </row>
    <row r="937" spans="1:5" ht="12.75">
      <c r="A937" s="167" t="s">
        <v>758</v>
      </c>
      <c r="B937" s="168">
        <v>322</v>
      </c>
      <c r="C937" s="167" t="s">
        <v>729</v>
      </c>
      <c r="D937" s="168">
        <v>101</v>
      </c>
      <c r="E937" s="168" t="s">
        <v>1083</v>
      </c>
    </row>
    <row r="938" spans="1:5" ht="12.75">
      <c r="A938" s="167" t="s">
        <v>759</v>
      </c>
      <c r="B938" s="168">
        <v>322</v>
      </c>
      <c r="C938" s="167" t="s">
        <v>729</v>
      </c>
      <c r="D938" s="168">
        <v>132</v>
      </c>
      <c r="E938" s="168">
        <v>19</v>
      </c>
    </row>
    <row r="939" spans="1:5" ht="12.75">
      <c r="A939" s="167" t="s">
        <v>760</v>
      </c>
      <c r="B939" s="168">
        <v>322</v>
      </c>
      <c r="C939" s="167" t="s">
        <v>729</v>
      </c>
      <c r="D939" s="168">
        <v>84</v>
      </c>
      <c r="E939" s="168" t="s">
        <v>1083</v>
      </c>
    </row>
    <row r="940" spans="1:5" ht="12.75">
      <c r="A940" s="167" t="s">
        <v>761</v>
      </c>
      <c r="B940" s="168">
        <v>322</v>
      </c>
      <c r="C940" s="167" t="s">
        <v>729</v>
      </c>
      <c r="D940" s="168">
        <v>30</v>
      </c>
      <c r="E940" s="168" t="s">
        <v>1083</v>
      </c>
    </row>
    <row r="941" spans="1:5" ht="12.75">
      <c r="A941" s="167" t="s">
        <v>762</v>
      </c>
      <c r="B941" s="168">
        <v>322</v>
      </c>
      <c r="C941" s="167" t="s">
        <v>729</v>
      </c>
      <c r="D941" s="168">
        <v>144</v>
      </c>
      <c r="E941" s="168">
        <v>13</v>
      </c>
    </row>
    <row r="942" spans="1:5" ht="12.75">
      <c r="A942" s="167" t="s">
        <v>763</v>
      </c>
      <c r="B942" s="168">
        <v>322</v>
      </c>
      <c r="C942" s="167" t="s">
        <v>729</v>
      </c>
      <c r="D942" s="168">
        <v>106</v>
      </c>
      <c r="E942" s="168" t="s">
        <v>1083</v>
      </c>
    </row>
    <row r="943" spans="1:5" ht="12.75">
      <c r="A943" s="167" t="s">
        <v>718</v>
      </c>
      <c r="B943" s="168">
        <v>322</v>
      </c>
      <c r="C943" s="167" t="s">
        <v>729</v>
      </c>
      <c r="D943" s="168">
        <v>147</v>
      </c>
      <c r="E943" s="168" t="s">
        <v>1083</v>
      </c>
    </row>
    <row r="944" spans="1:5" ht="12.75">
      <c r="A944" s="167" t="s">
        <v>764</v>
      </c>
      <c r="B944" s="168">
        <v>322</v>
      </c>
      <c r="C944" s="167" t="s">
        <v>729</v>
      </c>
      <c r="D944" s="168">
        <v>128</v>
      </c>
      <c r="E944" s="168">
        <v>20</v>
      </c>
    </row>
    <row r="945" spans="1:5" ht="12.75">
      <c r="A945" s="167" t="s">
        <v>765</v>
      </c>
      <c r="B945" s="168">
        <v>322</v>
      </c>
      <c r="C945" s="167" t="s">
        <v>729</v>
      </c>
      <c r="D945" s="168">
        <v>148</v>
      </c>
      <c r="E945" s="168">
        <v>17</v>
      </c>
    </row>
    <row r="946" spans="1:5" ht="12.75">
      <c r="A946" s="167" t="s">
        <v>766</v>
      </c>
      <c r="B946" s="168">
        <v>322</v>
      </c>
      <c r="C946" s="167" t="s">
        <v>729</v>
      </c>
      <c r="D946" s="168">
        <v>138</v>
      </c>
      <c r="E946" s="168">
        <v>8</v>
      </c>
    </row>
    <row r="947" spans="1:5" ht="12.75">
      <c r="A947" s="167" t="s">
        <v>767</v>
      </c>
      <c r="B947" s="168">
        <v>322</v>
      </c>
      <c r="C947" s="167" t="s">
        <v>729</v>
      </c>
      <c r="D947" s="168">
        <v>137</v>
      </c>
      <c r="E947" s="168">
        <v>9</v>
      </c>
    </row>
    <row r="948" spans="1:5" ht="12.75">
      <c r="A948" s="167" t="s">
        <v>768</v>
      </c>
      <c r="B948" s="168">
        <v>322</v>
      </c>
      <c r="C948" s="167" t="s">
        <v>729</v>
      </c>
      <c r="D948" s="168">
        <v>149</v>
      </c>
      <c r="E948" s="168" t="s">
        <v>1083</v>
      </c>
    </row>
    <row r="949" spans="1:5" ht="12.75">
      <c r="A949" s="167" t="s">
        <v>769</v>
      </c>
      <c r="B949" s="168">
        <v>322</v>
      </c>
      <c r="C949" s="167" t="s">
        <v>729</v>
      </c>
      <c r="D949" s="168">
        <v>111</v>
      </c>
      <c r="E949" s="168" t="s">
        <v>1083</v>
      </c>
    </row>
    <row r="950" spans="1:5" ht="12.75">
      <c r="A950" s="167" t="s">
        <v>770</v>
      </c>
      <c r="B950" s="168">
        <v>346</v>
      </c>
      <c r="C950" s="167" t="s">
        <v>771</v>
      </c>
      <c r="D950" s="168">
        <v>248</v>
      </c>
      <c r="E950" s="168">
        <v>19</v>
      </c>
    </row>
    <row r="951" spans="1:5" ht="12.75">
      <c r="A951" s="167" t="s">
        <v>772</v>
      </c>
      <c r="B951" s="168">
        <v>346</v>
      </c>
      <c r="C951" s="167" t="s">
        <v>771</v>
      </c>
      <c r="D951" s="168">
        <v>249</v>
      </c>
      <c r="E951" s="168" t="s">
        <v>1083</v>
      </c>
    </row>
    <row r="952" spans="1:5" ht="12.75">
      <c r="A952" s="167" t="s">
        <v>773</v>
      </c>
      <c r="B952" s="168">
        <v>346</v>
      </c>
      <c r="C952" s="167" t="s">
        <v>771</v>
      </c>
      <c r="D952" s="168">
        <v>204</v>
      </c>
      <c r="E952" s="168">
        <v>24</v>
      </c>
    </row>
    <row r="953" spans="1:5" ht="12.75">
      <c r="A953" s="167" t="s">
        <v>774</v>
      </c>
      <c r="B953" s="168">
        <v>346</v>
      </c>
      <c r="C953" s="167" t="s">
        <v>771</v>
      </c>
      <c r="D953" s="168">
        <v>250</v>
      </c>
      <c r="E953" s="168">
        <v>20</v>
      </c>
    </row>
    <row r="954" spans="1:5" ht="12.75">
      <c r="A954" s="167" t="s">
        <v>775</v>
      </c>
      <c r="B954" s="168">
        <v>346</v>
      </c>
      <c r="C954" s="167" t="s">
        <v>771</v>
      </c>
      <c r="D954" s="168">
        <v>202</v>
      </c>
      <c r="E954" s="168" t="s">
        <v>1083</v>
      </c>
    </row>
    <row r="955" spans="1:5" ht="12.75">
      <c r="A955" s="167" t="s">
        <v>776</v>
      </c>
      <c r="B955" s="168">
        <v>346</v>
      </c>
      <c r="C955" s="167" t="s">
        <v>771</v>
      </c>
      <c r="D955" s="168">
        <v>153</v>
      </c>
      <c r="E955" s="168">
        <v>6</v>
      </c>
    </row>
    <row r="956" spans="1:5" ht="12.75">
      <c r="A956" s="167" t="s">
        <v>777</v>
      </c>
      <c r="B956" s="168">
        <v>346</v>
      </c>
      <c r="C956" s="167" t="s">
        <v>771</v>
      </c>
      <c r="D956" s="168">
        <v>252</v>
      </c>
      <c r="E956" s="168">
        <v>8</v>
      </c>
    </row>
    <row r="957" spans="1:5" ht="12.75">
      <c r="A957" s="167" t="s">
        <v>778</v>
      </c>
      <c r="B957" s="168">
        <v>346</v>
      </c>
      <c r="C957" s="167" t="s">
        <v>771</v>
      </c>
      <c r="D957" s="168">
        <v>232</v>
      </c>
      <c r="E957" s="168" t="s">
        <v>1083</v>
      </c>
    </row>
    <row r="958" spans="1:5" ht="12.75">
      <c r="A958" s="167" t="s">
        <v>779</v>
      </c>
      <c r="B958" s="168">
        <v>346</v>
      </c>
      <c r="C958" s="167" t="s">
        <v>771</v>
      </c>
      <c r="D958" s="168">
        <v>256</v>
      </c>
      <c r="E958" s="168" t="s">
        <v>1083</v>
      </c>
    </row>
    <row r="959" spans="1:5" ht="12.75">
      <c r="A959" s="167" t="s">
        <v>780</v>
      </c>
      <c r="B959" s="168">
        <v>346</v>
      </c>
      <c r="C959" s="167" t="s">
        <v>771</v>
      </c>
      <c r="D959" s="168">
        <v>99</v>
      </c>
      <c r="E959" s="168" t="s">
        <v>1083</v>
      </c>
    </row>
    <row r="960" spans="1:5" ht="12.75">
      <c r="A960" s="167" t="s">
        <v>781</v>
      </c>
      <c r="B960" s="168">
        <v>346</v>
      </c>
      <c r="C960" s="167" t="s">
        <v>771</v>
      </c>
      <c r="D960" s="168">
        <v>106</v>
      </c>
      <c r="E960" s="168">
        <v>12</v>
      </c>
    </row>
    <row r="961" spans="1:5" ht="12.75">
      <c r="A961" s="167" t="s">
        <v>782</v>
      </c>
      <c r="B961" s="168">
        <v>346</v>
      </c>
      <c r="C961" s="167" t="s">
        <v>771</v>
      </c>
      <c r="D961" s="168">
        <v>212</v>
      </c>
      <c r="E961" s="168" t="s">
        <v>1083</v>
      </c>
    </row>
    <row r="962" spans="1:5" ht="12.75">
      <c r="A962" s="167" t="s">
        <v>783</v>
      </c>
      <c r="B962" s="168">
        <v>346</v>
      </c>
      <c r="C962" s="167" t="s">
        <v>771</v>
      </c>
      <c r="D962" s="168">
        <v>9</v>
      </c>
      <c r="E962" s="168">
        <v>5</v>
      </c>
    </row>
    <row r="963" spans="1:5" ht="12.75">
      <c r="A963" s="167" t="s">
        <v>784</v>
      </c>
      <c r="B963" s="168">
        <v>346</v>
      </c>
      <c r="C963" s="167" t="s">
        <v>771</v>
      </c>
      <c r="D963" s="168">
        <v>223</v>
      </c>
      <c r="E963" s="168">
        <v>10</v>
      </c>
    </row>
    <row r="964" spans="1:5" ht="12.75">
      <c r="A964" s="167" t="s">
        <v>785</v>
      </c>
      <c r="B964" s="168">
        <v>346</v>
      </c>
      <c r="C964" s="167" t="s">
        <v>771</v>
      </c>
      <c r="D964" s="168">
        <v>235</v>
      </c>
      <c r="E964" s="168">
        <v>4</v>
      </c>
    </row>
    <row r="965" spans="1:5" ht="12.75">
      <c r="A965" s="167" t="s">
        <v>786</v>
      </c>
      <c r="B965" s="168">
        <v>346</v>
      </c>
      <c r="C965" s="167" t="s">
        <v>771</v>
      </c>
      <c r="D965" s="168">
        <v>198</v>
      </c>
      <c r="E965" s="168">
        <v>14</v>
      </c>
    </row>
    <row r="966" spans="1:5" ht="12.75">
      <c r="A966" s="167" t="s">
        <v>787</v>
      </c>
      <c r="B966" s="168">
        <v>346</v>
      </c>
      <c r="C966" s="167" t="s">
        <v>771</v>
      </c>
      <c r="D966" s="168">
        <v>151</v>
      </c>
      <c r="E966" s="168">
        <v>23</v>
      </c>
    </row>
    <row r="967" spans="1:5" ht="12.75">
      <c r="A967" s="167" t="s">
        <v>788</v>
      </c>
      <c r="B967" s="168">
        <v>346</v>
      </c>
      <c r="C967" s="167" t="s">
        <v>771</v>
      </c>
      <c r="D967" s="168">
        <v>257</v>
      </c>
      <c r="E967" s="168" t="s">
        <v>1083</v>
      </c>
    </row>
    <row r="968" spans="1:5" ht="12.75">
      <c r="A968" s="167" t="s">
        <v>789</v>
      </c>
      <c r="B968" s="168">
        <v>346</v>
      </c>
      <c r="C968" s="167" t="s">
        <v>771</v>
      </c>
      <c r="D968" s="168">
        <v>253</v>
      </c>
      <c r="E968" s="168">
        <v>21</v>
      </c>
    </row>
    <row r="969" spans="1:5" ht="12.75">
      <c r="A969" s="167" t="s">
        <v>790</v>
      </c>
      <c r="B969" s="168">
        <v>346</v>
      </c>
      <c r="C969" s="167" t="s">
        <v>771</v>
      </c>
      <c r="D969" s="168">
        <v>258</v>
      </c>
      <c r="E969" s="168" t="s">
        <v>1083</v>
      </c>
    </row>
    <row r="970" spans="1:5" ht="12.75">
      <c r="A970" s="167" t="s">
        <v>791</v>
      </c>
      <c r="B970" s="168">
        <v>346</v>
      </c>
      <c r="C970" s="167" t="s">
        <v>771</v>
      </c>
      <c r="D970" s="168">
        <v>141</v>
      </c>
      <c r="E970" s="168">
        <v>3</v>
      </c>
    </row>
    <row r="971" spans="1:5" ht="12.75">
      <c r="A971" s="167" t="s">
        <v>792</v>
      </c>
      <c r="B971" s="168">
        <v>346</v>
      </c>
      <c r="C971" s="167" t="s">
        <v>771</v>
      </c>
      <c r="D971" s="168">
        <v>19</v>
      </c>
      <c r="E971" s="168">
        <v>11</v>
      </c>
    </row>
    <row r="972" spans="1:5" ht="12.75">
      <c r="A972" s="167" t="s">
        <v>793</v>
      </c>
      <c r="B972" s="168">
        <v>346</v>
      </c>
      <c r="C972" s="167" t="s">
        <v>771</v>
      </c>
      <c r="D972" s="168">
        <v>22</v>
      </c>
      <c r="E972" s="168" t="s">
        <v>1083</v>
      </c>
    </row>
    <row r="973" spans="1:5" ht="12.75">
      <c r="A973" s="167" t="s">
        <v>794</v>
      </c>
      <c r="B973" s="168">
        <v>346</v>
      </c>
      <c r="C973" s="167" t="s">
        <v>771</v>
      </c>
      <c r="D973" s="168">
        <v>259</v>
      </c>
      <c r="E973" s="168" t="s">
        <v>1083</v>
      </c>
    </row>
    <row r="974" spans="1:5" ht="12.75">
      <c r="A974" s="167" t="s">
        <v>795</v>
      </c>
      <c r="B974" s="168">
        <v>346</v>
      </c>
      <c r="C974" s="167" t="s">
        <v>771</v>
      </c>
      <c r="D974" s="168">
        <v>214</v>
      </c>
      <c r="E974" s="168">
        <v>22</v>
      </c>
    </row>
    <row r="975" spans="1:5" ht="12.75">
      <c r="A975" s="167" t="s">
        <v>796</v>
      </c>
      <c r="B975" s="168">
        <v>346</v>
      </c>
      <c r="C975" s="167" t="s">
        <v>771</v>
      </c>
      <c r="D975" s="168">
        <v>178</v>
      </c>
      <c r="E975" s="168">
        <v>7</v>
      </c>
    </row>
    <row r="976" spans="1:5" ht="12.75">
      <c r="A976" s="167" t="s">
        <v>797</v>
      </c>
      <c r="B976" s="168">
        <v>346</v>
      </c>
      <c r="C976" s="167" t="s">
        <v>771</v>
      </c>
      <c r="D976" s="168">
        <v>260</v>
      </c>
      <c r="E976" s="168" t="s">
        <v>1083</v>
      </c>
    </row>
    <row r="977" spans="1:5" ht="12.75">
      <c r="A977" s="167" t="s">
        <v>798</v>
      </c>
      <c r="B977" s="168">
        <v>346</v>
      </c>
      <c r="C977" s="167" t="s">
        <v>771</v>
      </c>
      <c r="D977" s="168">
        <v>261</v>
      </c>
      <c r="E977" s="168">
        <v>9</v>
      </c>
    </row>
    <row r="978" spans="1:5" ht="12.75">
      <c r="A978" s="167" t="s">
        <v>799</v>
      </c>
      <c r="B978" s="168">
        <v>346</v>
      </c>
      <c r="C978" s="167" t="s">
        <v>771</v>
      </c>
      <c r="D978" s="168">
        <v>262</v>
      </c>
      <c r="E978" s="168">
        <v>13</v>
      </c>
    </row>
    <row r="979" spans="1:5" ht="12.75">
      <c r="A979" s="167" t="s">
        <v>800</v>
      </c>
      <c r="B979" s="168">
        <v>346</v>
      </c>
      <c r="C979" s="167" t="s">
        <v>771</v>
      </c>
      <c r="D979" s="168">
        <v>254</v>
      </c>
      <c r="E979" s="168" t="s">
        <v>1083</v>
      </c>
    </row>
    <row r="980" spans="1:5" ht="12.75">
      <c r="A980" s="167" t="s">
        <v>801</v>
      </c>
      <c r="B980" s="168">
        <v>346</v>
      </c>
      <c r="C980" s="167" t="s">
        <v>771</v>
      </c>
      <c r="D980" s="168">
        <v>255</v>
      </c>
      <c r="E980" s="168" t="s">
        <v>1083</v>
      </c>
    </row>
    <row r="981" spans="1:5" ht="12.75">
      <c r="A981" s="167" t="s">
        <v>802</v>
      </c>
      <c r="B981" s="168">
        <v>346</v>
      </c>
      <c r="C981" s="167" t="s">
        <v>771</v>
      </c>
      <c r="D981" s="168">
        <v>5</v>
      </c>
      <c r="E981" s="168">
        <v>15</v>
      </c>
    </row>
    <row r="982" spans="1:5" ht="12.75">
      <c r="A982" s="167" t="s">
        <v>803</v>
      </c>
      <c r="B982" s="168">
        <v>346</v>
      </c>
      <c r="C982" s="167" t="s">
        <v>771</v>
      </c>
      <c r="D982" s="168">
        <v>218</v>
      </c>
      <c r="E982" s="168">
        <v>1</v>
      </c>
    </row>
    <row r="983" spans="1:5" ht="12.75">
      <c r="A983" s="167" t="s">
        <v>804</v>
      </c>
      <c r="B983" s="168">
        <v>346</v>
      </c>
      <c r="C983" s="167" t="s">
        <v>771</v>
      </c>
      <c r="D983" s="168">
        <v>205</v>
      </c>
      <c r="E983" s="168" t="s">
        <v>1083</v>
      </c>
    </row>
    <row r="984" spans="1:5" ht="12.75">
      <c r="A984" s="167" t="s">
        <v>805</v>
      </c>
      <c r="B984" s="168">
        <v>346</v>
      </c>
      <c r="C984" s="167" t="s">
        <v>771</v>
      </c>
      <c r="D984" s="168">
        <v>7</v>
      </c>
      <c r="E984" s="168">
        <v>16</v>
      </c>
    </row>
    <row r="985" spans="1:5" ht="12.75">
      <c r="A985" s="167" t="s">
        <v>806</v>
      </c>
      <c r="B985" s="168">
        <v>346</v>
      </c>
      <c r="C985" s="167" t="s">
        <v>771</v>
      </c>
      <c r="D985" s="168">
        <v>8</v>
      </c>
      <c r="E985" s="168">
        <v>17</v>
      </c>
    </row>
    <row r="986" spans="1:5" ht="12.75">
      <c r="A986" s="167" t="s">
        <v>807</v>
      </c>
      <c r="B986" s="168">
        <v>346</v>
      </c>
      <c r="C986" s="167" t="s">
        <v>771</v>
      </c>
      <c r="D986" s="168">
        <v>152</v>
      </c>
      <c r="E986" s="168">
        <v>2</v>
      </c>
    </row>
    <row r="987" spans="1:5" ht="12.75">
      <c r="A987" s="167" t="s">
        <v>808</v>
      </c>
      <c r="B987" s="168">
        <v>346</v>
      </c>
      <c r="C987" s="167" t="s">
        <v>771</v>
      </c>
      <c r="D987" s="168">
        <v>242</v>
      </c>
      <c r="E987" s="168" t="s">
        <v>1083</v>
      </c>
    </row>
    <row r="988" spans="1:5" ht="12.75">
      <c r="A988" s="167" t="s">
        <v>809</v>
      </c>
      <c r="B988" s="168">
        <v>346</v>
      </c>
      <c r="C988" s="167" t="s">
        <v>771</v>
      </c>
      <c r="D988" s="168">
        <v>244</v>
      </c>
      <c r="E988" s="168">
        <v>18</v>
      </c>
    </row>
    <row r="989" spans="1:5" ht="12.75">
      <c r="A989" s="167" t="s">
        <v>810</v>
      </c>
      <c r="B989" s="168">
        <v>346</v>
      </c>
      <c r="C989" s="167" t="s">
        <v>771</v>
      </c>
      <c r="D989" s="168">
        <v>169</v>
      </c>
      <c r="E989" s="168" t="s">
        <v>1083</v>
      </c>
    </row>
    <row r="990" spans="1:5" ht="12.75">
      <c r="A990" s="167" t="s">
        <v>811</v>
      </c>
      <c r="B990" s="168">
        <v>346</v>
      </c>
      <c r="C990" s="167" t="s">
        <v>771</v>
      </c>
      <c r="D990" s="168">
        <v>245</v>
      </c>
      <c r="E990" s="168" t="s">
        <v>1083</v>
      </c>
    </row>
    <row r="991" spans="1:5" ht="12.75">
      <c r="A991" s="167" t="s">
        <v>812</v>
      </c>
      <c r="B991" s="168">
        <v>346</v>
      </c>
      <c r="C991" s="167" t="s">
        <v>771</v>
      </c>
      <c r="D991" s="168">
        <v>247</v>
      </c>
      <c r="E991" s="168" t="s">
        <v>1083</v>
      </c>
    </row>
    <row r="992" spans="1:5" ht="12.75">
      <c r="A992" s="167" t="s">
        <v>813</v>
      </c>
      <c r="B992" s="168">
        <v>346</v>
      </c>
      <c r="C992" s="167" t="s">
        <v>771</v>
      </c>
      <c r="D992" s="168">
        <v>201</v>
      </c>
      <c r="E992" s="168" t="s">
        <v>1083</v>
      </c>
    </row>
    <row r="993" spans="1:5" ht="12.75">
      <c r="A993" s="167" t="s">
        <v>814</v>
      </c>
      <c r="B993" s="168">
        <v>346</v>
      </c>
      <c r="C993" s="167" t="s">
        <v>771</v>
      </c>
      <c r="D993" s="168">
        <v>184</v>
      </c>
      <c r="E993" s="168" t="s">
        <v>1083</v>
      </c>
    </row>
    <row r="994" spans="1:5" ht="12.75">
      <c r="A994" s="167" t="s">
        <v>815</v>
      </c>
      <c r="B994" s="168">
        <v>346</v>
      </c>
      <c r="C994" s="167" t="s">
        <v>771</v>
      </c>
      <c r="D994" s="168">
        <v>185</v>
      </c>
      <c r="E994" s="168" t="s">
        <v>1083</v>
      </c>
    </row>
    <row r="995" spans="1:5" ht="12.75">
      <c r="A995" s="167" t="s">
        <v>816</v>
      </c>
      <c r="B995" s="168">
        <v>363</v>
      </c>
      <c r="C995" s="167" t="s">
        <v>817</v>
      </c>
      <c r="D995" s="168">
        <v>113</v>
      </c>
      <c r="E995" s="168" t="s">
        <v>1083</v>
      </c>
    </row>
    <row r="996" spans="1:5" ht="12.75">
      <c r="A996" s="167" t="s">
        <v>818</v>
      </c>
      <c r="B996" s="168">
        <v>363</v>
      </c>
      <c r="C996" s="167" t="s">
        <v>817</v>
      </c>
      <c r="D996" s="168">
        <v>122</v>
      </c>
      <c r="E996" s="168" t="s">
        <v>1083</v>
      </c>
    </row>
    <row r="997" spans="1:5" ht="12.75">
      <c r="A997" s="167" t="s">
        <v>819</v>
      </c>
      <c r="B997" s="168">
        <v>363</v>
      </c>
      <c r="C997" s="167" t="s">
        <v>817</v>
      </c>
      <c r="D997" s="168">
        <v>48</v>
      </c>
      <c r="E997" s="168">
        <v>7</v>
      </c>
    </row>
    <row r="998" spans="1:5" ht="12.75">
      <c r="A998" s="167" t="s">
        <v>820</v>
      </c>
      <c r="B998" s="168">
        <v>363</v>
      </c>
      <c r="C998" s="167" t="s">
        <v>817</v>
      </c>
      <c r="D998" s="168">
        <v>111</v>
      </c>
      <c r="E998" s="168" t="s">
        <v>1083</v>
      </c>
    </row>
    <row r="999" spans="1:5" ht="12.75">
      <c r="A999" s="167" t="s">
        <v>821</v>
      </c>
      <c r="B999" s="168">
        <v>363</v>
      </c>
      <c r="C999" s="167" t="s">
        <v>817</v>
      </c>
      <c r="D999" s="168">
        <v>80</v>
      </c>
      <c r="E999" s="168">
        <v>22</v>
      </c>
    </row>
    <row r="1000" spans="1:5" ht="12.75">
      <c r="A1000" s="167" t="s">
        <v>822</v>
      </c>
      <c r="B1000" s="168">
        <v>363</v>
      </c>
      <c r="C1000" s="167" t="s">
        <v>817</v>
      </c>
      <c r="D1000" s="168">
        <v>4</v>
      </c>
      <c r="E1000" s="168" t="s">
        <v>1083</v>
      </c>
    </row>
    <row r="1001" spans="1:5" ht="12.75">
      <c r="A1001" s="167" t="s">
        <v>823</v>
      </c>
      <c r="B1001" s="168">
        <v>363</v>
      </c>
      <c r="C1001" s="167" t="s">
        <v>817</v>
      </c>
      <c r="D1001" s="168">
        <v>101</v>
      </c>
      <c r="E1001" s="168" t="s">
        <v>1083</v>
      </c>
    </row>
    <row r="1002" spans="1:5" ht="12.75">
      <c r="A1002" s="167" t="s">
        <v>824</v>
      </c>
      <c r="B1002" s="168">
        <v>363</v>
      </c>
      <c r="C1002" s="167" t="s">
        <v>817</v>
      </c>
      <c r="D1002" s="168">
        <v>105</v>
      </c>
      <c r="E1002" s="168" t="s">
        <v>1083</v>
      </c>
    </row>
    <row r="1003" spans="1:5" ht="12.75">
      <c r="A1003" s="167" t="s">
        <v>825</v>
      </c>
      <c r="B1003" s="168">
        <v>363</v>
      </c>
      <c r="C1003" s="167" t="s">
        <v>817</v>
      </c>
      <c r="D1003" s="168">
        <v>8</v>
      </c>
      <c r="E1003" s="168">
        <v>5</v>
      </c>
    </row>
    <row r="1004" spans="1:5" ht="12.75">
      <c r="A1004" s="167" t="s">
        <v>21</v>
      </c>
      <c r="B1004" s="168">
        <v>363</v>
      </c>
      <c r="C1004" s="167" t="s">
        <v>817</v>
      </c>
      <c r="D1004" s="168">
        <v>82</v>
      </c>
      <c r="E1004" s="168" t="s">
        <v>1083</v>
      </c>
    </row>
    <row r="1005" spans="1:5" ht="12.75">
      <c r="A1005" s="167" t="s">
        <v>826</v>
      </c>
      <c r="B1005" s="168">
        <v>363</v>
      </c>
      <c r="C1005" s="167" t="s">
        <v>817</v>
      </c>
      <c r="D1005" s="168">
        <v>100</v>
      </c>
      <c r="E1005" s="168">
        <v>19</v>
      </c>
    </row>
    <row r="1006" spans="1:5" ht="12.75">
      <c r="A1006" s="167" t="s">
        <v>827</v>
      </c>
      <c r="B1006" s="168">
        <v>363</v>
      </c>
      <c r="C1006" s="167" t="s">
        <v>817</v>
      </c>
      <c r="D1006" s="168">
        <v>94</v>
      </c>
      <c r="E1006" s="168" t="s">
        <v>1083</v>
      </c>
    </row>
    <row r="1007" spans="1:5" ht="12.75">
      <c r="A1007" s="167" t="s">
        <v>1736</v>
      </c>
      <c r="B1007" s="168">
        <v>363</v>
      </c>
      <c r="C1007" s="167" t="s">
        <v>817</v>
      </c>
      <c r="D1007" s="168">
        <v>114</v>
      </c>
      <c r="E1007" s="168" t="s">
        <v>1083</v>
      </c>
    </row>
    <row r="1008" spans="1:5" ht="12.75">
      <c r="A1008" s="167" t="s">
        <v>828</v>
      </c>
      <c r="B1008" s="168">
        <v>363</v>
      </c>
      <c r="C1008" s="167" t="s">
        <v>817</v>
      </c>
      <c r="D1008" s="168">
        <v>97</v>
      </c>
      <c r="E1008" s="168" t="s">
        <v>1083</v>
      </c>
    </row>
    <row r="1009" spans="1:5" ht="12.75">
      <c r="A1009" s="167" t="s">
        <v>829</v>
      </c>
      <c r="B1009" s="168">
        <v>363</v>
      </c>
      <c r="C1009" s="167" t="s">
        <v>817</v>
      </c>
      <c r="D1009" s="168">
        <v>106</v>
      </c>
      <c r="E1009" s="168" t="s">
        <v>1083</v>
      </c>
    </row>
    <row r="1010" spans="1:5" ht="12.75">
      <c r="A1010" s="167" t="s">
        <v>793</v>
      </c>
      <c r="B1010" s="168">
        <v>363</v>
      </c>
      <c r="C1010" s="167" t="s">
        <v>817</v>
      </c>
      <c r="D1010" s="168">
        <v>84</v>
      </c>
      <c r="E1010" s="168">
        <v>4</v>
      </c>
    </row>
    <row r="1011" spans="1:5" ht="12.75">
      <c r="A1011" s="167" t="s">
        <v>830</v>
      </c>
      <c r="B1011" s="168">
        <v>363</v>
      </c>
      <c r="C1011" s="167" t="s">
        <v>817</v>
      </c>
      <c r="D1011" s="168">
        <v>20</v>
      </c>
      <c r="E1011" s="168">
        <v>3</v>
      </c>
    </row>
    <row r="1012" spans="1:5" ht="12.75">
      <c r="A1012" s="167" t="s">
        <v>831</v>
      </c>
      <c r="B1012" s="168">
        <v>363</v>
      </c>
      <c r="C1012" s="167" t="s">
        <v>817</v>
      </c>
      <c r="D1012" s="168">
        <v>115</v>
      </c>
      <c r="E1012" s="168">
        <v>16</v>
      </c>
    </row>
    <row r="1013" spans="1:5" ht="12.75">
      <c r="A1013" s="167" t="s">
        <v>832</v>
      </c>
      <c r="B1013" s="168">
        <v>363</v>
      </c>
      <c r="C1013" s="167" t="s">
        <v>817</v>
      </c>
      <c r="D1013" s="168">
        <v>116</v>
      </c>
      <c r="E1013" s="168" t="s">
        <v>1083</v>
      </c>
    </row>
    <row r="1014" spans="1:5" ht="12.75">
      <c r="A1014" s="167" t="s">
        <v>833</v>
      </c>
      <c r="B1014" s="168">
        <v>363</v>
      </c>
      <c r="C1014" s="167" t="s">
        <v>817</v>
      </c>
      <c r="D1014" s="168">
        <v>93</v>
      </c>
      <c r="E1014" s="168">
        <v>15</v>
      </c>
    </row>
    <row r="1015" spans="1:5" ht="12.75">
      <c r="A1015" s="167" t="s">
        <v>834</v>
      </c>
      <c r="B1015" s="168">
        <v>363</v>
      </c>
      <c r="C1015" s="167" t="s">
        <v>817</v>
      </c>
      <c r="D1015" s="168">
        <v>107</v>
      </c>
      <c r="E1015" s="168" t="s">
        <v>1083</v>
      </c>
    </row>
    <row r="1016" spans="1:5" ht="12.75">
      <c r="A1016" s="167" t="s">
        <v>835</v>
      </c>
      <c r="B1016" s="168">
        <v>363</v>
      </c>
      <c r="C1016" s="167" t="s">
        <v>817</v>
      </c>
      <c r="D1016" s="168">
        <v>109</v>
      </c>
      <c r="E1016" s="168">
        <v>20</v>
      </c>
    </row>
    <row r="1017" spans="1:5" ht="12.75">
      <c r="A1017" s="167" t="s">
        <v>836</v>
      </c>
      <c r="B1017" s="168">
        <v>363</v>
      </c>
      <c r="C1017" s="167" t="s">
        <v>817</v>
      </c>
      <c r="D1017" s="168">
        <v>23</v>
      </c>
      <c r="E1017" s="168" t="s">
        <v>1083</v>
      </c>
    </row>
    <row r="1018" spans="1:5" ht="12.75">
      <c r="A1018" s="167" t="s">
        <v>837</v>
      </c>
      <c r="B1018" s="168">
        <v>363</v>
      </c>
      <c r="C1018" s="167" t="s">
        <v>817</v>
      </c>
      <c r="D1018" s="168">
        <v>46</v>
      </c>
      <c r="E1018" s="168" t="s">
        <v>1083</v>
      </c>
    </row>
    <row r="1019" spans="1:5" ht="12.75">
      <c r="A1019" s="167" t="s">
        <v>838</v>
      </c>
      <c r="B1019" s="168">
        <v>363</v>
      </c>
      <c r="C1019" s="167" t="s">
        <v>817</v>
      </c>
      <c r="D1019" s="168">
        <v>49</v>
      </c>
      <c r="E1019" s="168" t="s">
        <v>1083</v>
      </c>
    </row>
    <row r="1020" spans="1:5" ht="12.75">
      <c r="A1020" s="167" t="s">
        <v>839</v>
      </c>
      <c r="B1020" s="168">
        <v>363</v>
      </c>
      <c r="C1020" s="167" t="s">
        <v>817</v>
      </c>
      <c r="D1020" s="168">
        <v>86</v>
      </c>
      <c r="E1020" s="168" t="s">
        <v>1083</v>
      </c>
    </row>
    <row r="1021" spans="1:5" ht="12.75">
      <c r="A1021" s="167" t="s">
        <v>840</v>
      </c>
      <c r="B1021" s="168">
        <v>363</v>
      </c>
      <c r="C1021" s="167" t="s">
        <v>817</v>
      </c>
      <c r="D1021" s="168">
        <v>24</v>
      </c>
      <c r="E1021" s="168">
        <v>11</v>
      </c>
    </row>
    <row r="1022" spans="1:5" ht="12.75">
      <c r="A1022" s="167" t="s">
        <v>841</v>
      </c>
      <c r="B1022" s="168">
        <v>363</v>
      </c>
      <c r="C1022" s="167" t="s">
        <v>817</v>
      </c>
      <c r="D1022" s="168">
        <v>117</v>
      </c>
      <c r="E1022" s="168">
        <v>21</v>
      </c>
    </row>
    <row r="1023" spans="1:5" ht="12.75">
      <c r="A1023" s="167" t="s">
        <v>842</v>
      </c>
      <c r="B1023" s="168">
        <v>363</v>
      </c>
      <c r="C1023" s="167" t="s">
        <v>817</v>
      </c>
      <c r="D1023" s="168">
        <v>104</v>
      </c>
      <c r="E1023" s="168">
        <v>12</v>
      </c>
    </row>
    <row r="1024" spans="1:5" ht="12.75">
      <c r="A1024" s="167" t="s">
        <v>843</v>
      </c>
      <c r="B1024" s="168">
        <v>363</v>
      </c>
      <c r="C1024" s="167" t="s">
        <v>817</v>
      </c>
      <c r="D1024" s="168">
        <v>95</v>
      </c>
      <c r="E1024" s="168">
        <v>13</v>
      </c>
    </row>
    <row r="1025" spans="1:5" ht="12.75">
      <c r="A1025" s="167" t="s">
        <v>844</v>
      </c>
      <c r="B1025" s="168">
        <v>363</v>
      </c>
      <c r="C1025" s="167" t="s">
        <v>817</v>
      </c>
      <c r="D1025" s="168">
        <v>77</v>
      </c>
      <c r="E1025" s="168" t="s">
        <v>1083</v>
      </c>
    </row>
    <row r="1026" spans="1:5" ht="12.75">
      <c r="A1026" s="167" t="s">
        <v>845</v>
      </c>
      <c r="B1026" s="168">
        <v>363</v>
      </c>
      <c r="C1026" s="167" t="s">
        <v>817</v>
      </c>
      <c r="D1026" s="168">
        <v>123</v>
      </c>
      <c r="E1026" s="168" t="s">
        <v>1083</v>
      </c>
    </row>
    <row r="1027" spans="1:5" ht="12.75">
      <c r="A1027" s="167" t="s">
        <v>846</v>
      </c>
      <c r="B1027" s="168">
        <v>363</v>
      </c>
      <c r="C1027" s="167" t="s">
        <v>817</v>
      </c>
      <c r="D1027" s="168">
        <v>87</v>
      </c>
      <c r="E1027" s="168">
        <v>14</v>
      </c>
    </row>
    <row r="1028" spans="1:5" ht="12.75">
      <c r="A1028" s="167" t="s">
        <v>847</v>
      </c>
      <c r="B1028" s="168">
        <v>363</v>
      </c>
      <c r="C1028" s="167" t="s">
        <v>817</v>
      </c>
      <c r="D1028" s="168">
        <v>96</v>
      </c>
      <c r="E1028" s="168" t="s">
        <v>1083</v>
      </c>
    </row>
    <row r="1029" spans="1:5" ht="12.75">
      <c r="A1029" s="167" t="s">
        <v>848</v>
      </c>
      <c r="B1029" s="168">
        <v>363</v>
      </c>
      <c r="C1029" s="167" t="s">
        <v>817</v>
      </c>
      <c r="D1029" s="168">
        <v>88</v>
      </c>
      <c r="E1029" s="168" t="s">
        <v>1083</v>
      </c>
    </row>
    <row r="1030" spans="1:5" ht="12.75">
      <c r="A1030" s="167" t="s">
        <v>849</v>
      </c>
      <c r="B1030" s="168">
        <v>363</v>
      </c>
      <c r="C1030" s="167" t="s">
        <v>817</v>
      </c>
      <c r="D1030" s="168">
        <v>89</v>
      </c>
      <c r="E1030" s="168" t="s">
        <v>1083</v>
      </c>
    </row>
    <row r="1031" spans="1:5" ht="12.75">
      <c r="A1031" s="167" t="s">
        <v>850</v>
      </c>
      <c r="B1031" s="168">
        <v>363</v>
      </c>
      <c r="C1031" s="167" t="s">
        <v>817</v>
      </c>
      <c r="D1031" s="168">
        <v>110</v>
      </c>
      <c r="E1031" s="168">
        <v>2</v>
      </c>
    </row>
    <row r="1032" spans="1:5" ht="12.75">
      <c r="A1032" s="167" t="s">
        <v>851</v>
      </c>
      <c r="B1032" s="168">
        <v>363</v>
      </c>
      <c r="C1032" s="167" t="s">
        <v>817</v>
      </c>
      <c r="D1032" s="168">
        <v>118</v>
      </c>
      <c r="E1032" s="168" t="s">
        <v>1083</v>
      </c>
    </row>
    <row r="1033" spans="1:5" ht="12.75">
      <c r="A1033" s="167" t="s">
        <v>851</v>
      </c>
      <c r="B1033" s="168">
        <v>363</v>
      </c>
      <c r="C1033" s="167" t="s">
        <v>817</v>
      </c>
      <c r="D1033" s="168">
        <v>70</v>
      </c>
      <c r="E1033" s="168">
        <v>18</v>
      </c>
    </row>
    <row r="1034" spans="1:5" ht="12.75">
      <c r="A1034" s="167" t="s">
        <v>852</v>
      </c>
      <c r="B1034" s="168">
        <v>363</v>
      </c>
      <c r="C1034" s="167" t="s">
        <v>817</v>
      </c>
      <c r="D1034" s="168">
        <v>90</v>
      </c>
      <c r="E1034" s="168">
        <v>17</v>
      </c>
    </row>
    <row r="1035" spans="1:5" ht="12.75">
      <c r="A1035" s="167" t="s">
        <v>853</v>
      </c>
      <c r="B1035" s="168">
        <v>363</v>
      </c>
      <c r="C1035" s="167" t="s">
        <v>817</v>
      </c>
      <c r="D1035" s="168">
        <v>71</v>
      </c>
      <c r="E1035" s="168" t="s">
        <v>1083</v>
      </c>
    </row>
    <row r="1036" spans="1:5" ht="12.75">
      <c r="A1036" s="167" t="s">
        <v>854</v>
      </c>
      <c r="B1036" s="168">
        <v>363</v>
      </c>
      <c r="C1036" s="167" t="s">
        <v>817</v>
      </c>
      <c r="D1036" s="168">
        <v>119</v>
      </c>
      <c r="E1036" s="168">
        <v>10</v>
      </c>
    </row>
    <row r="1037" spans="1:5" ht="12.75">
      <c r="A1037" s="167" t="s">
        <v>855</v>
      </c>
      <c r="B1037" s="168">
        <v>363</v>
      </c>
      <c r="C1037" s="167" t="s">
        <v>817</v>
      </c>
      <c r="D1037" s="168">
        <v>62</v>
      </c>
      <c r="E1037" s="168">
        <v>6</v>
      </c>
    </row>
    <row r="1038" spans="1:5" ht="12.75">
      <c r="A1038" s="167" t="s">
        <v>856</v>
      </c>
      <c r="B1038" s="168">
        <v>363</v>
      </c>
      <c r="C1038" s="167" t="s">
        <v>817</v>
      </c>
      <c r="D1038" s="168">
        <v>37</v>
      </c>
      <c r="E1038" s="168">
        <v>1</v>
      </c>
    </row>
    <row r="1039" spans="1:5" ht="12.75">
      <c r="A1039" s="167" t="s">
        <v>857</v>
      </c>
      <c r="B1039" s="168">
        <v>363</v>
      </c>
      <c r="C1039" s="167" t="s">
        <v>817</v>
      </c>
      <c r="D1039" s="168">
        <v>103</v>
      </c>
      <c r="E1039" s="168" t="s">
        <v>1083</v>
      </c>
    </row>
    <row r="1040" spans="1:5" ht="12.75">
      <c r="A1040" s="167" t="s">
        <v>858</v>
      </c>
      <c r="B1040" s="168">
        <v>363</v>
      </c>
      <c r="C1040" s="167" t="s">
        <v>817</v>
      </c>
      <c r="D1040" s="168">
        <v>102</v>
      </c>
      <c r="E1040" s="168">
        <v>8</v>
      </c>
    </row>
    <row r="1041" spans="1:5" ht="12.75">
      <c r="A1041" s="167" t="s">
        <v>859</v>
      </c>
      <c r="B1041" s="168">
        <v>363</v>
      </c>
      <c r="C1041" s="167" t="s">
        <v>817</v>
      </c>
      <c r="D1041" s="168">
        <v>91</v>
      </c>
      <c r="E1041" s="168" t="s">
        <v>1083</v>
      </c>
    </row>
    <row r="1042" spans="1:5" ht="12.75">
      <c r="A1042" s="167" t="s">
        <v>860</v>
      </c>
      <c r="B1042" s="168">
        <v>363</v>
      </c>
      <c r="C1042" s="167" t="s">
        <v>817</v>
      </c>
      <c r="D1042" s="168">
        <v>120</v>
      </c>
      <c r="E1042" s="168" t="s">
        <v>1083</v>
      </c>
    </row>
    <row r="1043" spans="1:5" ht="12.75">
      <c r="A1043" s="167" t="s">
        <v>861</v>
      </c>
      <c r="B1043" s="168">
        <v>363</v>
      </c>
      <c r="C1043" s="167" t="s">
        <v>817</v>
      </c>
      <c r="D1043" s="168">
        <v>121</v>
      </c>
      <c r="E1043" s="168" t="s">
        <v>1083</v>
      </c>
    </row>
    <row r="1044" spans="1:5" ht="12.75">
      <c r="A1044" s="167" t="s">
        <v>862</v>
      </c>
      <c r="B1044" s="168">
        <v>363</v>
      </c>
      <c r="C1044" s="167" t="s">
        <v>817</v>
      </c>
      <c r="D1044" s="168">
        <v>108</v>
      </c>
      <c r="E1044" s="168">
        <v>9</v>
      </c>
    </row>
    <row r="1045" spans="1:5" ht="12.75">
      <c r="A1045" s="167" t="s">
        <v>863</v>
      </c>
      <c r="B1045" s="168">
        <v>369</v>
      </c>
      <c r="C1045" s="167" t="s">
        <v>864</v>
      </c>
      <c r="D1045" s="168">
        <v>71</v>
      </c>
      <c r="E1045" s="168">
        <v>20</v>
      </c>
    </row>
    <row r="1046" spans="1:5" ht="12.75">
      <c r="A1046" s="167" t="s">
        <v>865</v>
      </c>
      <c r="B1046" s="168">
        <v>369</v>
      </c>
      <c r="C1046" s="167" t="s">
        <v>864</v>
      </c>
      <c r="D1046" s="168">
        <v>124</v>
      </c>
      <c r="E1046" s="168">
        <v>6</v>
      </c>
    </row>
    <row r="1047" spans="1:5" ht="12.75">
      <c r="A1047" s="167" t="s">
        <v>866</v>
      </c>
      <c r="B1047" s="168">
        <v>369</v>
      </c>
      <c r="C1047" s="167" t="s">
        <v>864</v>
      </c>
      <c r="D1047" s="168">
        <v>131</v>
      </c>
      <c r="E1047" s="168">
        <v>10</v>
      </c>
    </row>
    <row r="1048" spans="1:5" ht="12.75">
      <c r="A1048" s="167" t="s">
        <v>867</v>
      </c>
      <c r="B1048" s="168">
        <v>369</v>
      </c>
      <c r="C1048" s="167" t="s">
        <v>864</v>
      </c>
      <c r="D1048" s="168">
        <v>58</v>
      </c>
      <c r="E1048" s="168">
        <v>14</v>
      </c>
    </row>
    <row r="1049" spans="1:5" ht="12.75">
      <c r="A1049" s="167" t="s">
        <v>868</v>
      </c>
      <c r="B1049" s="168">
        <v>369</v>
      </c>
      <c r="C1049" s="167" t="s">
        <v>864</v>
      </c>
      <c r="D1049" s="168">
        <v>132</v>
      </c>
      <c r="E1049" s="168">
        <v>4</v>
      </c>
    </row>
    <row r="1050" spans="1:5" ht="12.75">
      <c r="A1050" s="167" t="s">
        <v>869</v>
      </c>
      <c r="B1050" s="168">
        <v>369</v>
      </c>
      <c r="C1050" s="167" t="s">
        <v>864</v>
      </c>
      <c r="D1050" s="168">
        <v>12</v>
      </c>
      <c r="E1050" s="168">
        <v>19</v>
      </c>
    </row>
    <row r="1051" spans="1:5" ht="12.75">
      <c r="A1051" s="167" t="s">
        <v>870</v>
      </c>
      <c r="B1051" s="168">
        <v>369</v>
      </c>
      <c r="C1051" s="167" t="s">
        <v>864</v>
      </c>
      <c r="D1051" s="168">
        <v>5</v>
      </c>
      <c r="E1051" s="168">
        <v>1</v>
      </c>
    </row>
    <row r="1052" spans="1:5" ht="12.75">
      <c r="A1052" s="167" t="s">
        <v>871</v>
      </c>
      <c r="B1052" s="168">
        <v>369</v>
      </c>
      <c r="C1052" s="167" t="s">
        <v>864</v>
      </c>
      <c r="D1052" s="168">
        <v>133</v>
      </c>
      <c r="E1052" s="168">
        <v>18</v>
      </c>
    </row>
    <row r="1053" spans="1:5" ht="12.75">
      <c r="A1053" s="167" t="s">
        <v>872</v>
      </c>
      <c r="B1053" s="168">
        <v>369</v>
      </c>
      <c r="C1053" s="167" t="s">
        <v>864</v>
      </c>
      <c r="D1053" s="168">
        <v>134</v>
      </c>
      <c r="E1053" s="168">
        <v>15</v>
      </c>
    </row>
    <row r="1054" spans="1:5" ht="12.75">
      <c r="A1054" s="167" t="s">
        <v>873</v>
      </c>
      <c r="B1054" s="168">
        <v>369</v>
      </c>
      <c r="C1054" s="167" t="s">
        <v>864</v>
      </c>
      <c r="D1054" s="168">
        <v>93</v>
      </c>
      <c r="E1054" s="168">
        <v>7</v>
      </c>
    </row>
    <row r="1055" spans="1:5" ht="12.75">
      <c r="A1055" s="167" t="s">
        <v>874</v>
      </c>
      <c r="B1055" s="168">
        <v>369</v>
      </c>
      <c r="C1055" s="167" t="s">
        <v>864</v>
      </c>
      <c r="D1055" s="168">
        <v>135</v>
      </c>
      <c r="E1055" s="168">
        <v>11</v>
      </c>
    </row>
    <row r="1056" spans="1:5" ht="12.75">
      <c r="A1056" s="167" t="s">
        <v>875</v>
      </c>
      <c r="B1056" s="168">
        <v>369</v>
      </c>
      <c r="C1056" s="167" t="s">
        <v>864</v>
      </c>
      <c r="D1056" s="168">
        <v>90</v>
      </c>
      <c r="E1056" s="168">
        <v>5</v>
      </c>
    </row>
    <row r="1057" spans="1:5" ht="12.75">
      <c r="A1057" s="167" t="s">
        <v>876</v>
      </c>
      <c r="B1057" s="168">
        <v>369</v>
      </c>
      <c r="C1057" s="167" t="s">
        <v>864</v>
      </c>
      <c r="D1057" s="168">
        <v>107</v>
      </c>
      <c r="E1057" s="168">
        <v>9</v>
      </c>
    </row>
    <row r="1058" spans="1:5" ht="12.75">
      <c r="A1058" s="167" t="s">
        <v>877</v>
      </c>
      <c r="B1058" s="168">
        <v>369</v>
      </c>
      <c r="C1058" s="167" t="s">
        <v>864</v>
      </c>
      <c r="D1058" s="168">
        <v>136</v>
      </c>
      <c r="E1058" s="168">
        <v>16</v>
      </c>
    </row>
    <row r="1059" spans="1:5" ht="12.75">
      <c r="A1059" s="167" t="s">
        <v>878</v>
      </c>
      <c r="B1059" s="168">
        <v>369</v>
      </c>
      <c r="C1059" s="167" t="s">
        <v>864</v>
      </c>
      <c r="D1059" s="168">
        <v>108</v>
      </c>
      <c r="E1059" s="168">
        <v>13</v>
      </c>
    </row>
    <row r="1060" spans="1:5" ht="12.75">
      <c r="A1060" s="167" t="s">
        <v>879</v>
      </c>
      <c r="B1060" s="168">
        <v>369</v>
      </c>
      <c r="C1060" s="167" t="s">
        <v>864</v>
      </c>
      <c r="D1060" s="168">
        <v>6</v>
      </c>
      <c r="E1060" s="168">
        <v>17</v>
      </c>
    </row>
    <row r="1061" spans="1:5" ht="12.75">
      <c r="A1061" s="167" t="s">
        <v>880</v>
      </c>
      <c r="B1061" s="168">
        <v>369</v>
      </c>
      <c r="C1061" s="167" t="s">
        <v>864</v>
      </c>
      <c r="D1061" s="168">
        <v>16</v>
      </c>
      <c r="E1061" s="168">
        <v>3</v>
      </c>
    </row>
    <row r="1062" spans="1:5" ht="12.75">
      <c r="A1062" s="167" t="s">
        <v>881</v>
      </c>
      <c r="B1062" s="168">
        <v>369</v>
      </c>
      <c r="C1062" s="167" t="s">
        <v>864</v>
      </c>
      <c r="D1062" s="168">
        <v>39</v>
      </c>
      <c r="E1062" s="168">
        <v>2</v>
      </c>
    </row>
    <row r="1063" spans="1:5" ht="12.75">
      <c r="A1063" s="167" t="s">
        <v>882</v>
      </c>
      <c r="B1063" s="168">
        <v>369</v>
      </c>
      <c r="C1063" s="167" t="s">
        <v>864</v>
      </c>
      <c r="D1063" s="168">
        <v>66</v>
      </c>
      <c r="E1063" s="168">
        <v>8</v>
      </c>
    </row>
    <row r="1064" spans="1:5" ht="12.75">
      <c r="A1064" s="167" t="s">
        <v>883</v>
      </c>
      <c r="B1064" s="168">
        <v>369</v>
      </c>
      <c r="C1064" s="167" t="s">
        <v>864</v>
      </c>
      <c r="D1064" s="168">
        <v>137</v>
      </c>
      <c r="E1064" s="168">
        <v>12</v>
      </c>
    </row>
    <row r="1065" spans="1:5" ht="12.75">
      <c r="A1065" s="167" t="s">
        <v>884</v>
      </c>
      <c r="B1065" s="168">
        <v>387</v>
      </c>
      <c r="C1065" s="167" t="s">
        <v>885</v>
      </c>
      <c r="D1065" s="168">
        <v>9</v>
      </c>
      <c r="E1065" s="168">
        <v>8</v>
      </c>
    </row>
    <row r="1066" spans="1:5" ht="12.75">
      <c r="A1066" s="167" t="s">
        <v>886</v>
      </c>
      <c r="B1066" s="168">
        <v>387</v>
      </c>
      <c r="C1066" s="167" t="s">
        <v>885</v>
      </c>
      <c r="D1066" s="168">
        <v>28</v>
      </c>
      <c r="E1066" s="168">
        <v>2</v>
      </c>
    </row>
    <row r="1067" spans="1:5" ht="12.75">
      <c r="A1067" s="167" t="s">
        <v>899</v>
      </c>
      <c r="B1067" s="168">
        <v>387</v>
      </c>
      <c r="C1067" s="167" t="s">
        <v>885</v>
      </c>
      <c r="D1067" s="168">
        <v>32</v>
      </c>
      <c r="E1067" s="168" t="s">
        <v>1083</v>
      </c>
    </row>
    <row r="1068" spans="1:5" ht="12.75">
      <c r="A1068" s="167" t="s">
        <v>900</v>
      </c>
      <c r="B1068" s="168">
        <v>387</v>
      </c>
      <c r="C1068" s="167" t="s">
        <v>885</v>
      </c>
      <c r="D1068" s="168">
        <v>10</v>
      </c>
      <c r="E1068" s="168" t="s">
        <v>1083</v>
      </c>
    </row>
    <row r="1069" spans="1:5" ht="12.75">
      <c r="A1069" s="167" t="s">
        <v>901</v>
      </c>
      <c r="B1069" s="168">
        <v>387</v>
      </c>
      <c r="C1069" s="167" t="s">
        <v>885</v>
      </c>
      <c r="D1069" s="168">
        <v>39</v>
      </c>
      <c r="E1069" s="168">
        <v>5</v>
      </c>
    </row>
    <row r="1070" spans="1:5" ht="12.75">
      <c r="A1070" s="167" t="s">
        <v>902</v>
      </c>
      <c r="B1070" s="168">
        <v>387</v>
      </c>
      <c r="C1070" s="167" t="s">
        <v>885</v>
      </c>
      <c r="D1070" s="168">
        <v>20</v>
      </c>
      <c r="E1070" s="168">
        <v>9</v>
      </c>
    </row>
    <row r="1071" spans="1:5" ht="12.75">
      <c r="A1071" s="167" t="s">
        <v>903</v>
      </c>
      <c r="B1071" s="168">
        <v>387</v>
      </c>
      <c r="C1071" s="167" t="s">
        <v>885</v>
      </c>
      <c r="D1071" s="168">
        <v>31</v>
      </c>
      <c r="E1071" s="168">
        <v>4</v>
      </c>
    </row>
    <row r="1072" spans="1:5" ht="12.75">
      <c r="A1072" s="167" t="s">
        <v>904</v>
      </c>
      <c r="B1072" s="168">
        <v>387</v>
      </c>
      <c r="C1072" s="167" t="s">
        <v>885</v>
      </c>
      <c r="D1072" s="168">
        <v>21</v>
      </c>
      <c r="E1072" s="168">
        <v>3</v>
      </c>
    </row>
    <row r="1073" spans="1:5" ht="12.75">
      <c r="A1073" s="167" t="s">
        <v>905</v>
      </c>
      <c r="B1073" s="168">
        <v>387</v>
      </c>
      <c r="C1073" s="167" t="s">
        <v>885</v>
      </c>
      <c r="D1073" s="168">
        <v>18</v>
      </c>
      <c r="E1073" s="168">
        <v>10</v>
      </c>
    </row>
    <row r="1074" spans="1:5" ht="12.75">
      <c r="A1074" s="167" t="s">
        <v>906</v>
      </c>
      <c r="B1074" s="168">
        <v>387</v>
      </c>
      <c r="C1074" s="167" t="s">
        <v>885</v>
      </c>
      <c r="D1074" s="168">
        <v>38</v>
      </c>
      <c r="E1074" s="168">
        <v>6</v>
      </c>
    </row>
    <row r="1075" spans="1:5" ht="12.75">
      <c r="A1075" s="167" t="s">
        <v>907</v>
      </c>
      <c r="B1075" s="168">
        <v>387</v>
      </c>
      <c r="C1075" s="167" t="s">
        <v>885</v>
      </c>
      <c r="D1075" s="168">
        <v>2</v>
      </c>
      <c r="E1075" s="168">
        <v>1</v>
      </c>
    </row>
    <row r="1076" spans="1:5" ht="12.75">
      <c r="A1076" s="167" t="s">
        <v>908</v>
      </c>
      <c r="B1076" s="168">
        <v>387</v>
      </c>
      <c r="C1076" s="167" t="s">
        <v>885</v>
      </c>
      <c r="D1076" s="168">
        <v>36</v>
      </c>
      <c r="E1076" s="168">
        <v>11</v>
      </c>
    </row>
    <row r="1077" spans="1:5" ht="12.75">
      <c r="A1077" s="167" t="s">
        <v>909</v>
      </c>
      <c r="B1077" s="168">
        <v>387</v>
      </c>
      <c r="C1077" s="167" t="s">
        <v>885</v>
      </c>
      <c r="D1077" s="168">
        <v>37</v>
      </c>
      <c r="E1077" s="168">
        <v>7</v>
      </c>
    </row>
    <row r="1078" spans="1:5" ht="12.75">
      <c r="A1078" s="167" t="s">
        <v>910</v>
      </c>
      <c r="B1078" s="168">
        <v>422</v>
      </c>
      <c r="C1078" s="167" t="s">
        <v>911</v>
      </c>
      <c r="D1078" s="168">
        <v>41</v>
      </c>
      <c r="E1078" s="168" t="s">
        <v>1083</v>
      </c>
    </row>
    <row r="1079" spans="1:5" ht="12.75">
      <c r="A1079" s="167" t="s">
        <v>912</v>
      </c>
      <c r="B1079" s="168">
        <v>422</v>
      </c>
      <c r="C1079" s="167" t="s">
        <v>911</v>
      </c>
      <c r="D1079" s="168">
        <v>1</v>
      </c>
      <c r="E1079" s="168">
        <v>5</v>
      </c>
    </row>
    <row r="1080" spans="1:5" ht="12.75">
      <c r="A1080" s="167" t="s">
        <v>913</v>
      </c>
      <c r="B1080" s="168">
        <v>422</v>
      </c>
      <c r="C1080" s="167" t="s">
        <v>911</v>
      </c>
      <c r="D1080" s="168">
        <v>55</v>
      </c>
      <c r="E1080" s="168" t="s">
        <v>1083</v>
      </c>
    </row>
    <row r="1081" spans="1:5" ht="12.75">
      <c r="A1081" s="167" t="s">
        <v>914</v>
      </c>
      <c r="B1081" s="168">
        <v>422</v>
      </c>
      <c r="C1081" s="167" t="s">
        <v>911</v>
      </c>
      <c r="D1081" s="168">
        <v>26</v>
      </c>
      <c r="E1081" s="168" t="s">
        <v>1083</v>
      </c>
    </row>
    <row r="1082" spans="1:5" ht="12.75">
      <c r="A1082" s="167" t="s">
        <v>915</v>
      </c>
      <c r="B1082" s="168">
        <v>422</v>
      </c>
      <c r="C1082" s="167" t="s">
        <v>911</v>
      </c>
      <c r="D1082" s="168">
        <v>48</v>
      </c>
      <c r="E1082" s="168" t="s">
        <v>1083</v>
      </c>
    </row>
    <row r="1083" spans="1:5" ht="12.75">
      <c r="A1083" s="167" t="s">
        <v>916</v>
      </c>
      <c r="B1083" s="168">
        <v>422</v>
      </c>
      <c r="C1083" s="167" t="s">
        <v>911</v>
      </c>
      <c r="D1083" s="168">
        <v>52</v>
      </c>
      <c r="E1083" s="168">
        <v>1</v>
      </c>
    </row>
    <row r="1084" spans="1:5" ht="12.75">
      <c r="A1084" s="167" t="s">
        <v>917</v>
      </c>
      <c r="B1084" s="168">
        <v>422</v>
      </c>
      <c r="C1084" s="167" t="s">
        <v>911</v>
      </c>
      <c r="D1084" s="168">
        <v>34</v>
      </c>
      <c r="E1084" s="168" t="s">
        <v>1083</v>
      </c>
    </row>
    <row r="1085" spans="1:5" ht="12.75">
      <c r="A1085" s="167" t="s">
        <v>918</v>
      </c>
      <c r="B1085" s="168">
        <v>422</v>
      </c>
      <c r="C1085" s="167" t="s">
        <v>911</v>
      </c>
      <c r="D1085" s="168">
        <v>4</v>
      </c>
      <c r="E1085" s="168" t="s">
        <v>1083</v>
      </c>
    </row>
    <row r="1086" spans="1:5" ht="12.75">
      <c r="A1086" s="167" t="s">
        <v>919</v>
      </c>
      <c r="B1086" s="168">
        <v>422</v>
      </c>
      <c r="C1086" s="167" t="s">
        <v>911</v>
      </c>
      <c r="D1086" s="168">
        <v>7</v>
      </c>
      <c r="E1086" s="168">
        <v>13</v>
      </c>
    </row>
    <row r="1087" spans="1:5" ht="12.75">
      <c r="A1087" s="167" t="s">
        <v>920</v>
      </c>
      <c r="B1087" s="168">
        <v>422</v>
      </c>
      <c r="C1087" s="167" t="s">
        <v>911</v>
      </c>
      <c r="D1087" s="168">
        <v>46</v>
      </c>
      <c r="E1087" s="168" t="s">
        <v>1083</v>
      </c>
    </row>
    <row r="1088" spans="1:5" ht="12.75">
      <c r="A1088" s="167" t="s">
        <v>921</v>
      </c>
      <c r="B1088" s="168">
        <v>422</v>
      </c>
      <c r="C1088" s="167" t="s">
        <v>911</v>
      </c>
      <c r="D1088" s="168">
        <v>49</v>
      </c>
      <c r="E1088" s="168" t="s">
        <v>1083</v>
      </c>
    </row>
    <row r="1089" spans="1:5" ht="12.75">
      <c r="A1089" s="167" t="s">
        <v>922</v>
      </c>
      <c r="B1089" s="168">
        <v>422</v>
      </c>
      <c r="C1089" s="167" t="s">
        <v>911</v>
      </c>
      <c r="D1089" s="168">
        <v>50</v>
      </c>
      <c r="E1089" s="168">
        <v>3</v>
      </c>
    </row>
    <row r="1090" spans="1:5" ht="12.75">
      <c r="A1090" s="167" t="s">
        <v>923</v>
      </c>
      <c r="B1090" s="168">
        <v>422</v>
      </c>
      <c r="C1090" s="167" t="s">
        <v>911</v>
      </c>
      <c r="D1090" s="168">
        <v>11</v>
      </c>
      <c r="E1090" s="168">
        <v>2</v>
      </c>
    </row>
    <row r="1091" spans="1:5" ht="12.75">
      <c r="A1091" s="167" t="s">
        <v>924</v>
      </c>
      <c r="B1091" s="168">
        <v>422</v>
      </c>
      <c r="C1091" s="167" t="s">
        <v>911</v>
      </c>
      <c r="D1091" s="168">
        <v>12</v>
      </c>
      <c r="E1091" s="168">
        <v>7</v>
      </c>
    </row>
    <row r="1092" spans="1:5" ht="12.75">
      <c r="A1092" s="167" t="s">
        <v>925</v>
      </c>
      <c r="B1092" s="168">
        <v>422</v>
      </c>
      <c r="C1092" s="167" t="s">
        <v>911</v>
      </c>
      <c r="D1092" s="168">
        <v>51</v>
      </c>
      <c r="E1092" s="168">
        <v>8</v>
      </c>
    </row>
    <row r="1093" spans="1:5" ht="12.75">
      <c r="A1093" s="167" t="s">
        <v>926</v>
      </c>
      <c r="B1093" s="168">
        <v>422</v>
      </c>
      <c r="C1093" s="167" t="s">
        <v>911</v>
      </c>
      <c r="D1093" s="168">
        <v>14</v>
      </c>
      <c r="E1093" s="168" t="s">
        <v>1083</v>
      </c>
    </row>
    <row r="1094" spans="1:5" ht="12.75">
      <c r="A1094" s="167" t="s">
        <v>927</v>
      </c>
      <c r="B1094" s="168">
        <v>422</v>
      </c>
      <c r="C1094" s="167" t="s">
        <v>911</v>
      </c>
      <c r="D1094" s="168">
        <v>15</v>
      </c>
      <c r="E1094" s="168">
        <v>6</v>
      </c>
    </row>
    <row r="1095" spans="1:5" ht="12.75">
      <c r="A1095" s="167" t="s">
        <v>622</v>
      </c>
      <c r="B1095" s="168">
        <v>422</v>
      </c>
      <c r="C1095" s="167" t="s">
        <v>911</v>
      </c>
      <c r="D1095" s="168">
        <v>18</v>
      </c>
      <c r="E1095" s="168" t="s">
        <v>1083</v>
      </c>
    </row>
    <row r="1096" spans="1:5" ht="12.75">
      <c r="A1096" s="167" t="s">
        <v>928</v>
      </c>
      <c r="B1096" s="168">
        <v>422</v>
      </c>
      <c r="C1096" s="167" t="s">
        <v>911</v>
      </c>
      <c r="D1096" s="168">
        <v>31</v>
      </c>
      <c r="E1096" s="168">
        <v>12</v>
      </c>
    </row>
    <row r="1097" spans="1:5" ht="12.75">
      <c r="A1097" s="167" t="s">
        <v>929</v>
      </c>
      <c r="B1097" s="168">
        <v>422</v>
      </c>
      <c r="C1097" s="167" t="s">
        <v>911</v>
      </c>
      <c r="D1097" s="168">
        <v>38</v>
      </c>
      <c r="E1097" s="168" t="s">
        <v>1083</v>
      </c>
    </row>
    <row r="1098" spans="1:5" ht="12.75">
      <c r="A1098" s="167" t="s">
        <v>930</v>
      </c>
      <c r="B1098" s="168">
        <v>422</v>
      </c>
      <c r="C1098" s="167" t="s">
        <v>911</v>
      </c>
      <c r="D1098" s="168">
        <v>53</v>
      </c>
      <c r="E1098" s="168">
        <v>14</v>
      </c>
    </row>
    <row r="1099" spans="1:5" ht="12.75">
      <c r="A1099" s="167" t="s">
        <v>931</v>
      </c>
      <c r="B1099" s="168">
        <v>422</v>
      </c>
      <c r="C1099" s="167" t="s">
        <v>911</v>
      </c>
      <c r="D1099" s="168">
        <v>19</v>
      </c>
      <c r="E1099" s="168" t="s">
        <v>1083</v>
      </c>
    </row>
    <row r="1100" spans="1:5" ht="12.75">
      <c r="A1100" s="167" t="s">
        <v>932</v>
      </c>
      <c r="B1100" s="168">
        <v>422</v>
      </c>
      <c r="C1100" s="167" t="s">
        <v>911</v>
      </c>
      <c r="D1100" s="168">
        <v>35</v>
      </c>
      <c r="E1100" s="168" t="s">
        <v>1083</v>
      </c>
    </row>
    <row r="1101" spans="1:5" ht="12.75">
      <c r="A1101" s="167" t="s">
        <v>933</v>
      </c>
      <c r="B1101" s="168">
        <v>422</v>
      </c>
      <c r="C1101" s="167" t="s">
        <v>911</v>
      </c>
      <c r="D1101" s="168">
        <v>21</v>
      </c>
      <c r="E1101" s="168" t="s">
        <v>1083</v>
      </c>
    </row>
    <row r="1102" spans="1:5" ht="12.75">
      <c r="A1102" s="167" t="s">
        <v>637</v>
      </c>
      <c r="B1102" s="168">
        <v>422</v>
      </c>
      <c r="C1102" s="167" t="s">
        <v>911</v>
      </c>
      <c r="D1102" s="168">
        <v>22</v>
      </c>
      <c r="E1102" s="168">
        <v>10</v>
      </c>
    </row>
    <row r="1103" spans="1:5" ht="12.75">
      <c r="A1103" s="167" t="s">
        <v>934</v>
      </c>
      <c r="B1103" s="168">
        <v>422</v>
      </c>
      <c r="C1103" s="167" t="s">
        <v>911</v>
      </c>
      <c r="D1103" s="168">
        <v>43</v>
      </c>
      <c r="E1103" s="168">
        <v>11</v>
      </c>
    </row>
    <row r="1104" spans="1:5" ht="12.75">
      <c r="A1104" s="167" t="s">
        <v>935</v>
      </c>
      <c r="B1104" s="168">
        <v>422</v>
      </c>
      <c r="C1104" s="167" t="s">
        <v>911</v>
      </c>
      <c r="D1104" s="168">
        <v>54</v>
      </c>
      <c r="E1104" s="168" t="s">
        <v>1083</v>
      </c>
    </row>
    <row r="1105" spans="1:5" ht="12.75">
      <c r="A1105" s="167" t="s">
        <v>936</v>
      </c>
      <c r="B1105" s="168">
        <v>422</v>
      </c>
      <c r="C1105" s="167" t="s">
        <v>911</v>
      </c>
      <c r="D1105" s="168">
        <v>29</v>
      </c>
      <c r="E1105" s="168">
        <v>9</v>
      </c>
    </row>
    <row r="1106" spans="1:5" ht="12.75">
      <c r="A1106" s="167" t="s">
        <v>937</v>
      </c>
      <c r="B1106" s="168">
        <v>422</v>
      </c>
      <c r="C1106" s="167" t="s">
        <v>911</v>
      </c>
      <c r="D1106" s="168">
        <v>39</v>
      </c>
      <c r="E1106" s="168" t="s">
        <v>1083</v>
      </c>
    </row>
    <row r="1107" spans="1:5" ht="12.75">
      <c r="A1107" s="167" t="s">
        <v>938</v>
      </c>
      <c r="B1107" s="168">
        <v>422</v>
      </c>
      <c r="C1107" s="167" t="s">
        <v>911</v>
      </c>
      <c r="D1107" s="168">
        <v>25</v>
      </c>
      <c r="E1107" s="168">
        <v>15</v>
      </c>
    </row>
    <row r="1108" spans="1:5" ht="12.75">
      <c r="A1108" s="167" t="s">
        <v>644</v>
      </c>
      <c r="B1108" s="168">
        <v>422</v>
      </c>
      <c r="C1108" s="167" t="s">
        <v>911</v>
      </c>
      <c r="D1108" s="168">
        <v>27</v>
      </c>
      <c r="E1108" s="168">
        <v>4</v>
      </c>
    </row>
    <row r="1109" spans="1:5" ht="12.75">
      <c r="A1109" s="167" t="s">
        <v>939</v>
      </c>
      <c r="B1109" s="168">
        <v>437</v>
      </c>
      <c r="C1109" s="167" t="s">
        <v>940</v>
      </c>
      <c r="D1109" s="168">
        <v>57</v>
      </c>
      <c r="E1109" s="168">
        <v>14</v>
      </c>
    </row>
    <row r="1110" spans="1:5" ht="12.75">
      <c r="A1110" s="167" t="s">
        <v>941</v>
      </c>
      <c r="B1110" s="168">
        <v>437</v>
      </c>
      <c r="C1110" s="167" t="s">
        <v>940</v>
      </c>
      <c r="D1110" s="168">
        <v>38</v>
      </c>
      <c r="E1110" s="168">
        <v>17</v>
      </c>
    </row>
    <row r="1111" spans="1:5" ht="12.75">
      <c r="A1111" s="167" t="s">
        <v>942</v>
      </c>
      <c r="B1111" s="168">
        <v>437</v>
      </c>
      <c r="C1111" s="167" t="s">
        <v>940</v>
      </c>
      <c r="D1111" s="168">
        <v>58</v>
      </c>
      <c r="E1111" s="168" t="s">
        <v>1083</v>
      </c>
    </row>
    <row r="1112" spans="1:5" ht="12.75">
      <c r="A1112" s="167" t="s">
        <v>943</v>
      </c>
      <c r="B1112" s="168">
        <v>437</v>
      </c>
      <c r="C1112" s="167" t="s">
        <v>940</v>
      </c>
      <c r="D1112" s="168">
        <v>76</v>
      </c>
      <c r="E1112" s="168">
        <v>15</v>
      </c>
    </row>
    <row r="1113" spans="1:5" ht="12.75">
      <c r="A1113" s="167" t="s">
        <v>944</v>
      </c>
      <c r="B1113" s="168">
        <v>437</v>
      </c>
      <c r="C1113" s="167" t="s">
        <v>940</v>
      </c>
      <c r="D1113" s="168">
        <v>59</v>
      </c>
      <c r="E1113" s="168" t="s">
        <v>1083</v>
      </c>
    </row>
    <row r="1114" spans="1:5" ht="12.75">
      <c r="A1114" s="167" t="s">
        <v>945</v>
      </c>
      <c r="B1114" s="168">
        <v>437</v>
      </c>
      <c r="C1114" s="167" t="s">
        <v>940</v>
      </c>
      <c r="D1114" s="168">
        <v>39</v>
      </c>
      <c r="E1114" s="168">
        <v>22</v>
      </c>
    </row>
    <row r="1115" spans="1:5" ht="12.75">
      <c r="A1115" s="167" t="s">
        <v>946</v>
      </c>
      <c r="B1115" s="168">
        <v>437</v>
      </c>
      <c r="C1115" s="167" t="s">
        <v>940</v>
      </c>
      <c r="D1115" s="168">
        <v>40</v>
      </c>
      <c r="E1115" s="168">
        <v>8</v>
      </c>
    </row>
    <row r="1116" spans="1:5" ht="12.75">
      <c r="A1116" s="167" t="s">
        <v>947</v>
      </c>
      <c r="B1116" s="168">
        <v>437</v>
      </c>
      <c r="C1116" s="167" t="s">
        <v>940</v>
      </c>
      <c r="D1116" s="168">
        <v>80</v>
      </c>
      <c r="E1116" s="168">
        <v>6</v>
      </c>
    </row>
    <row r="1117" spans="1:5" ht="12.75">
      <c r="A1117" s="167" t="s">
        <v>948</v>
      </c>
      <c r="B1117" s="168">
        <v>437</v>
      </c>
      <c r="C1117" s="167" t="s">
        <v>940</v>
      </c>
      <c r="D1117" s="168">
        <v>74</v>
      </c>
      <c r="E1117" s="168">
        <v>16</v>
      </c>
    </row>
    <row r="1118" spans="1:5" ht="12.75">
      <c r="A1118" s="167" t="s">
        <v>949</v>
      </c>
      <c r="B1118" s="168">
        <v>437</v>
      </c>
      <c r="C1118" s="167" t="s">
        <v>940</v>
      </c>
      <c r="D1118" s="168">
        <v>42</v>
      </c>
      <c r="E1118" s="168" t="s">
        <v>1083</v>
      </c>
    </row>
    <row r="1119" spans="1:5" ht="12.75">
      <c r="A1119" s="167" t="s">
        <v>950</v>
      </c>
      <c r="B1119" s="168">
        <v>437</v>
      </c>
      <c r="C1119" s="167" t="s">
        <v>940</v>
      </c>
      <c r="D1119" s="168">
        <v>7</v>
      </c>
      <c r="E1119" s="168" t="s">
        <v>1083</v>
      </c>
    </row>
    <row r="1120" spans="1:5" ht="12.75">
      <c r="A1120" s="167" t="s">
        <v>951</v>
      </c>
      <c r="B1120" s="168">
        <v>437</v>
      </c>
      <c r="C1120" s="167" t="s">
        <v>940</v>
      </c>
      <c r="D1120" s="168">
        <v>75</v>
      </c>
      <c r="E1120" s="168" t="s">
        <v>1083</v>
      </c>
    </row>
    <row r="1121" spans="1:5" ht="12.75">
      <c r="A1121" s="167" t="s">
        <v>952</v>
      </c>
      <c r="B1121" s="168">
        <v>437</v>
      </c>
      <c r="C1121" s="167" t="s">
        <v>940</v>
      </c>
      <c r="D1121" s="168">
        <v>81</v>
      </c>
      <c r="E1121" s="168" t="s">
        <v>1083</v>
      </c>
    </row>
    <row r="1122" spans="1:5" ht="12.75">
      <c r="A1122" s="167" t="s">
        <v>953</v>
      </c>
      <c r="B1122" s="168">
        <v>437</v>
      </c>
      <c r="C1122" s="167" t="s">
        <v>940</v>
      </c>
      <c r="D1122" s="168">
        <v>82</v>
      </c>
      <c r="E1122" s="168" t="s">
        <v>1083</v>
      </c>
    </row>
    <row r="1123" spans="1:5" ht="12.75">
      <c r="A1123" s="167" t="s">
        <v>954</v>
      </c>
      <c r="B1123" s="168">
        <v>437</v>
      </c>
      <c r="C1123" s="167" t="s">
        <v>940</v>
      </c>
      <c r="D1123" s="168">
        <v>60</v>
      </c>
      <c r="E1123" s="168" t="s">
        <v>1083</v>
      </c>
    </row>
    <row r="1124" spans="1:5" ht="12.75">
      <c r="A1124" s="167" t="s">
        <v>955</v>
      </c>
      <c r="B1124" s="168">
        <v>437</v>
      </c>
      <c r="C1124" s="167" t="s">
        <v>940</v>
      </c>
      <c r="D1124" s="168">
        <v>45</v>
      </c>
      <c r="E1124" s="168">
        <v>12</v>
      </c>
    </row>
    <row r="1125" spans="1:5" ht="12.75">
      <c r="A1125" s="167" t="s">
        <v>956</v>
      </c>
      <c r="B1125" s="168">
        <v>437</v>
      </c>
      <c r="C1125" s="167" t="s">
        <v>940</v>
      </c>
      <c r="D1125" s="168">
        <v>10</v>
      </c>
      <c r="E1125" s="168">
        <v>11</v>
      </c>
    </row>
    <row r="1126" spans="1:5" ht="12.75">
      <c r="A1126" s="167" t="s">
        <v>957</v>
      </c>
      <c r="B1126" s="168">
        <v>437</v>
      </c>
      <c r="C1126" s="167" t="s">
        <v>940</v>
      </c>
      <c r="D1126" s="168">
        <v>68</v>
      </c>
      <c r="E1126" s="168">
        <v>23</v>
      </c>
    </row>
    <row r="1127" spans="1:5" ht="12.75">
      <c r="A1127" s="167" t="s">
        <v>958</v>
      </c>
      <c r="B1127" s="168">
        <v>437</v>
      </c>
      <c r="C1127" s="167" t="s">
        <v>940</v>
      </c>
      <c r="D1127" s="168">
        <v>11</v>
      </c>
      <c r="E1127" s="168" t="s">
        <v>1083</v>
      </c>
    </row>
    <row r="1128" spans="1:5" ht="12.75">
      <c r="A1128" s="167" t="s">
        <v>959</v>
      </c>
      <c r="B1128" s="168">
        <v>437</v>
      </c>
      <c r="C1128" s="167" t="s">
        <v>940</v>
      </c>
      <c r="D1128" s="168">
        <v>12</v>
      </c>
      <c r="E1128" s="168">
        <v>19</v>
      </c>
    </row>
    <row r="1129" spans="1:5" ht="12.75">
      <c r="A1129" s="167" t="s">
        <v>960</v>
      </c>
      <c r="B1129" s="168">
        <v>437</v>
      </c>
      <c r="C1129" s="167" t="s">
        <v>940</v>
      </c>
      <c r="D1129" s="168">
        <v>83</v>
      </c>
      <c r="E1129" s="168" t="s">
        <v>1083</v>
      </c>
    </row>
    <row r="1130" spans="1:5" ht="12.75">
      <c r="A1130" s="167" t="s">
        <v>961</v>
      </c>
      <c r="B1130" s="168">
        <v>437</v>
      </c>
      <c r="C1130" s="167" t="s">
        <v>940</v>
      </c>
      <c r="D1130" s="168">
        <v>14</v>
      </c>
      <c r="E1130" s="168">
        <v>9</v>
      </c>
    </row>
    <row r="1131" spans="1:5" ht="12.75">
      <c r="A1131" s="167" t="s">
        <v>962</v>
      </c>
      <c r="B1131" s="168">
        <v>437</v>
      </c>
      <c r="C1131" s="167" t="s">
        <v>940</v>
      </c>
      <c r="D1131" s="168">
        <v>48</v>
      </c>
      <c r="E1131" s="168">
        <v>3</v>
      </c>
    </row>
    <row r="1132" spans="1:5" ht="12.75">
      <c r="A1132" s="167" t="s">
        <v>963</v>
      </c>
      <c r="B1132" s="168">
        <v>437</v>
      </c>
      <c r="C1132" s="167" t="s">
        <v>940</v>
      </c>
      <c r="D1132" s="168">
        <v>49</v>
      </c>
      <c r="E1132" s="168">
        <v>20</v>
      </c>
    </row>
    <row r="1133" spans="1:5" ht="12.75">
      <c r="A1133" s="167" t="s">
        <v>964</v>
      </c>
      <c r="B1133" s="168">
        <v>437</v>
      </c>
      <c r="C1133" s="167" t="s">
        <v>940</v>
      </c>
      <c r="D1133" s="168">
        <v>50</v>
      </c>
      <c r="E1133" s="168">
        <v>7</v>
      </c>
    </row>
    <row r="1134" spans="1:5" ht="12.75">
      <c r="A1134" s="167" t="s">
        <v>965</v>
      </c>
      <c r="B1134" s="168">
        <v>437</v>
      </c>
      <c r="C1134" s="167" t="s">
        <v>940</v>
      </c>
      <c r="D1134" s="168">
        <v>69</v>
      </c>
      <c r="E1134" s="168" t="s">
        <v>1083</v>
      </c>
    </row>
    <row r="1135" spans="1:5" ht="12.75">
      <c r="A1135" s="167" t="s">
        <v>966</v>
      </c>
      <c r="B1135" s="168">
        <v>437</v>
      </c>
      <c r="C1135" s="167" t="s">
        <v>940</v>
      </c>
      <c r="D1135" s="168">
        <v>19</v>
      </c>
      <c r="E1135" s="168">
        <v>2</v>
      </c>
    </row>
    <row r="1136" spans="1:5" ht="12.75">
      <c r="A1136" s="167" t="s">
        <v>967</v>
      </c>
      <c r="B1136" s="168">
        <v>437</v>
      </c>
      <c r="C1136" s="167" t="s">
        <v>940</v>
      </c>
      <c r="D1136" s="168">
        <v>73</v>
      </c>
      <c r="E1136" s="168" t="s">
        <v>1083</v>
      </c>
    </row>
    <row r="1137" spans="1:5" ht="12.75">
      <c r="A1137" s="167" t="s">
        <v>968</v>
      </c>
      <c r="B1137" s="168">
        <v>437</v>
      </c>
      <c r="C1137" s="167" t="s">
        <v>940</v>
      </c>
      <c r="D1137" s="168">
        <v>84</v>
      </c>
      <c r="E1137" s="168" t="s">
        <v>1083</v>
      </c>
    </row>
    <row r="1138" spans="1:5" ht="12.75">
      <c r="A1138" s="167" t="s">
        <v>969</v>
      </c>
      <c r="B1138" s="168">
        <v>437</v>
      </c>
      <c r="C1138" s="167" t="s">
        <v>940</v>
      </c>
      <c r="D1138" s="168">
        <v>21</v>
      </c>
      <c r="E1138" s="168" t="s">
        <v>1083</v>
      </c>
    </row>
    <row r="1139" spans="1:5" ht="12.75">
      <c r="A1139" s="167" t="s">
        <v>970</v>
      </c>
      <c r="B1139" s="168">
        <v>437</v>
      </c>
      <c r="C1139" s="167" t="s">
        <v>940</v>
      </c>
      <c r="D1139" s="168">
        <v>56</v>
      </c>
      <c r="E1139" s="168" t="s">
        <v>1083</v>
      </c>
    </row>
    <row r="1140" spans="1:5" ht="12.75">
      <c r="A1140" s="167" t="s">
        <v>971</v>
      </c>
      <c r="B1140" s="168">
        <v>437</v>
      </c>
      <c r="C1140" s="167" t="s">
        <v>940</v>
      </c>
      <c r="D1140" s="168">
        <v>77</v>
      </c>
      <c r="E1140" s="168" t="s">
        <v>1083</v>
      </c>
    </row>
    <row r="1141" spans="1:5" ht="12.75">
      <c r="A1141" s="167" t="s">
        <v>972</v>
      </c>
      <c r="B1141" s="168">
        <v>437</v>
      </c>
      <c r="C1141" s="167" t="s">
        <v>940</v>
      </c>
      <c r="D1141" s="168">
        <v>62</v>
      </c>
      <c r="E1141" s="168" t="s">
        <v>1083</v>
      </c>
    </row>
    <row r="1142" spans="1:5" ht="12.75">
      <c r="A1142" s="167" t="s">
        <v>973</v>
      </c>
      <c r="B1142" s="168">
        <v>437</v>
      </c>
      <c r="C1142" s="167" t="s">
        <v>940</v>
      </c>
      <c r="D1142" s="168">
        <v>78</v>
      </c>
      <c r="E1142" s="168" t="s">
        <v>1083</v>
      </c>
    </row>
    <row r="1143" spans="1:5" ht="12.75">
      <c r="A1143" s="167" t="s">
        <v>974</v>
      </c>
      <c r="B1143" s="168">
        <v>437</v>
      </c>
      <c r="C1143" s="167" t="s">
        <v>940</v>
      </c>
      <c r="D1143" s="168">
        <v>25</v>
      </c>
      <c r="E1143" s="168">
        <v>10</v>
      </c>
    </row>
    <row r="1144" spans="1:5" ht="12.75">
      <c r="A1144" s="167" t="s">
        <v>589</v>
      </c>
      <c r="B1144" s="168">
        <v>437</v>
      </c>
      <c r="C1144" s="167" t="s">
        <v>940</v>
      </c>
      <c r="D1144" s="168">
        <v>85</v>
      </c>
      <c r="E1144" s="168" t="s">
        <v>1083</v>
      </c>
    </row>
    <row r="1145" spans="1:5" ht="12.75">
      <c r="A1145" s="167" t="s">
        <v>975</v>
      </c>
      <c r="B1145" s="168">
        <v>437</v>
      </c>
      <c r="C1145" s="167" t="s">
        <v>940</v>
      </c>
      <c r="D1145" s="168">
        <v>65</v>
      </c>
      <c r="E1145" s="168">
        <v>13</v>
      </c>
    </row>
    <row r="1146" spans="1:5" ht="12.75">
      <c r="A1146" s="167" t="s">
        <v>976</v>
      </c>
      <c r="B1146" s="168">
        <v>437</v>
      </c>
      <c r="C1146" s="167" t="s">
        <v>940</v>
      </c>
      <c r="D1146" s="168">
        <v>29</v>
      </c>
      <c r="E1146" s="168">
        <v>1</v>
      </c>
    </row>
    <row r="1147" spans="1:5" ht="12.75">
      <c r="A1147" s="167" t="s">
        <v>977</v>
      </c>
      <c r="B1147" s="168">
        <v>437</v>
      </c>
      <c r="C1147" s="167" t="s">
        <v>940</v>
      </c>
      <c r="D1147" s="168">
        <v>72</v>
      </c>
      <c r="E1147" s="168">
        <v>21</v>
      </c>
    </row>
    <row r="1148" spans="1:5" ht="12.75">
      <c r="A1148" s="167" t="s">
        <v>978</v>
      </c>
      <c r="B1148" s="168">
        <v>437</v>
      </c>
      <c r="C1148" s="167" t="s">
        <v>940</v>
      </c>
      <c r="D1148" s="168">
        <v>33</v>
      </c>
      <c r="E1148" s="168">
        <v>4</v>
      </c>
    </row>
    <row r="1149" spans="1:5" ht="12.75">
      <c r="A1149" s="167" t="s">
        <v>979</v>
      </c>
      <c r="B1149" s="168">
        <v>437</v>
      </c>
      <c r="C1149" s="167" t="s">
        <v>940</v>
      </c>
      <c r="D1149" s="168">
        <v>64</v>
      </c>
      <c r="E1149" s="168" t="s">
        <v>1083</v>
      </c>
    </row>
    <row r="1150" spans="1:5" ht="12.75">
      <c r="A1150" s="167" t="s">
        <v>980</v>
      </c>
      <c r="B1150" s="168">
        <v>437</v>
      </c>
      <c r="C1150" s="167" t="s">
        <v>940</v>
      </c>
      <c r="D1150" s="168">
        <v>79</v>
      </c>
      <c r="E1150" s="168">
        <v>5</v>
      </c>
    </row>
    <row r="1151" spans="1:5" ht="12.75">
      <c r="A1151" s="167" t="s">
        <v>981</v>
      </c>
      <c r="B1151" s="168">
        <v>437</v>
      </c>
      <c r="C1151" s="167" t="s">
        <v>940</v>
      </c>
      <c r="D1151" s="168">
        <v>34</v>
      </c>
      <c r="E1151" s="168" t="s">
        <v>1083</v>
      </c>
    </row>
    <row r="1152" spans="1:5" ht="12.75">
      <c r="A1152" s="167" t="s">
        <v>982</v>
      </c>
      <c r="B1152" s="168">
        <v>437</v>
      </c>
      <c r="C1152" s="167" t="s">
        <v>940</v>
      </c>
      <c r="D1152" s="168">
        <v>35</v>
      </c>
      <c r="E1152" s="168">
        <v>18</v>
      </c>
    </row>
    <row r="1153" spans="1:5" ht="12.75">
      <c r="A1153" s="167" t="s">
        <v>983</v>
      </c>
      <c r="B1153" s="168">
        <v>437</v>
      </c>
      <c r="C1153" s="167" t="s">
        <v>940</v>
      </c>
      <c r="D1153" s="168">
        <v>36</v>
      </c>
      <c r="E1153" s="168" t="s">
        <v>1083</v>
      </c>
    </row>
    <row r="1154" spans="1:5" ht="12.75">
      <c r="A1154" s="167" t="s">
        <v>984</v>
      </c>
      <c r="B1154" s="168">
        <v>445</v>
      </c>
      <c r="C1154" s="167" t="s">
        <v>985</v>
      </c>
      <c r="D1154" s="168">
        <v>48</v>
      </c>
      <c r="E1154" s="168">
        <v>17</v>
      </c>
    </row>
    <row r="1155" spans="1:5" ht="12.75">
      <c r="A1155" s="167" t="s">
        <v>986</v>
      </c>
      <c r="B1155" s="168">
        <v>445</v>
      </c>
      <c r="C1155" s="167" t="s">
        <v>985</v>
      </c>
      <c r="D1155" s="168">
        <v>62</v>
      </c>
      <c r="E1155" s="168" t="s">
        <v>1083</v>
      </c>
    </row>
    <row r="1156" spans="1:5" ht="12.75">
      <c r="A1156" s="167" t="s">
        <v>987</v>
      </c>
      <c r="B1156" s="168">
        <v>445</v>
      </c>
      <c r="C1156" s="167" t="s">
        <v>985</v>
      </c>
      <c r="D1156" s="168">
        <v>5</v>
      </c>
      <c r="E1156" s="168" t="s">
        <v>1083</v>
      </c>
    </row>
    <row r="1157" spans="1:5" ht="12.75">
      <c r="A1157" s="167" t="s">
        <v>988</v>
      </c>
      <c r="B1157" s="168">
        <v>445</v>
      </c>
      <c r="C1157" s="167" t="s">
        <v>985</v>
      </c>
      <c r="D1157" s="168">
        <v>22</v>
      </c>
      <c r="E1157" s="168">
        <v>19</v>
      </c>
    </row>
    <row r="1158" spans="1:5" ht="12.75">
      <c r="A1158" s="167" t="s">
        <v>989</v>
      </c>
      <c r="B1158" s="168">
        <v>445</v>
      </c>
      <c r="C1158" s="167" t="s">
        <v>985</v>
      </c>
      <c r="D1158" s="168">
        <v>11</v>
      </c>
      <c r="E1158" s="168" t="s">
        <v>1083</v>
      </c>
    </row>
    <row r="1159" spans="1:5" ht="12.75">
      <c r="A1159" s="167" t="s">
        <v>990</v>
      </c>
      <c r="B1159" s="168">
        <v>445</v>
      </c>
      <c r="C1159" s="167" t="s">
        <v>985</v>
      </c>
      <c r="D1159" s="168">
        <v>33</v>
      </c>
      <c r="E1159" s="168">
        <v>11</v>
      </c>
    </row>
    <row r="1160" spans="1:5" ht="12.75">
      <c r="A1160" s="167" t="s">
        <v>991</v>
      </c>
      <c r="B1160" s="168">
        <v>445</v>
      </c>
      <c r="C1160" s="167" t="s">
        <v>985</v>
      </c>
      <c r="D1160" s="168">
        <v>78</v>
      </c>
      <c r="E1160" s="168" t="s">
        <v>1083</v>
      </c>
    </row>
    <row r="1161" spans="1:5" ht="12.75">
      <c r="A1161" s="167" t="s">
        <v>992</v>
      </c>
      <c r="B1161" s="168">
        <v>445</v>
      </c>
      <c r="C1161" s="167" t="s">
        <v>985</v>
      </c>
      <c r="D1161" s="168">
        <v>36</v>
      </c>
      <c r="E1161" s="168">
        <v>16</v>
      </c>
    </row>
    <row r="1162" spans="1:5" ht="12.75">
      <c r="A1162" s="167" t="s">
        <v>993</v>
      </c>
      <c r="B1162" s="168">
        <v>445</v>
      </c>
      <c r="C1162" s="167" t="s">
        <v>985</v>
      </c>
      <c r="D1162" s="168">
        <v>12</v>
      </c>
      <c r="E1162" s="168">
        <v>5</v>
      </c>
    </row>
    <row r="1163" spans="1:5" ht="12.75">
      <c r="A1163" s="167" t="s">
        <v>994</v>
      </c>
      <c r="B1163" s="168">
        <v>445</v>
      </c>
      <c r="C1163" s="167" t="s">
        <v>985</v>
      </c>
      <c r="D1163" s="168">
        <v>13</v>
      </c>
      <c r="E1163" s="168" t="s">
        <v>1083</v>
      </c>
    </row>
    <row r="1164" spans="1:5" ht="12.75">
      <c r="A1164" s="167" t="s">
        <v>995</v>
      </c>
      <c r="B1164" s="168">
        <v>445</v>
      </c>
      <c r="C1164" s="167" t="s">
        <v>985</v>
      </c>
      <c r="D1164" s="168">
        <v>63</v>
      </c>
      <c r="E1164" s="168">
        <v>27</v>
      </c>
    </row>
    <row r="1165" spans="1:5" ht="12.75">
      <c r="A1165" s="167" t="s">
        <v>996</v>
      </c>
      <c r="B1165" s="168">
        <v>445</v>
      </c>
      <c r="C1165" s="167" t="s">
        <v>985</v>
      </c>
      <c r="D1165" s="168">
        <v>68</v>
      </c>
      <c r="E1165" s="168" t="s">
        <v>1083</v>
      </c>
    </row>
    <row r="1166" spans="1:5" ht="12.75">
      <c r="A1166" s="167" t="s">
        <v>997</v>
      </c>
      <c r="B1166" s="168">
        <v>445</v>
      </c>
      <c r="C1166" s="167" t="s">
        <v>985</v>
      </c>
      <c r="D1166" s="168">
        <v>57</v>
      </c>
      <c r="E1166" s="168" t="s">
        <v>1083</v>
      </c>
    </row>
    <row r="1167" spans="1:5" ht="12.75">
      <c r="A1167" s="167" t="s">
        <v>998</v>
      </c>
      <c r="B1167" s="168">
        <v>445</v>
      </c>
      <c r="C1167" s="167" t="s">
        <v>985</v>
      </c>
      <c r="D1167" s="168">
        <v>49</v>
      </c>
      <c r="E1167" s="168" t="s">
        <v>1083</v>
      </c>
    </row>
    <row r="1168" spans="1:5" ht="12.75">
      <c r="A1168" s="167" t="s">
        <v>999</v>
      </c>
      <c r="B1168" s="168">
        <v>445</v>
      </c>
      <c r="C1168" s="167" t="s">
        <v>985</v>
      </c>
      <c r="D1168" s="168">
        <v>58</v>
      </c>
      <c r="E1168" s="168" t="s">
        <v>1083</v>
      </c>
    </row>
    <row r="1169" spans="1:5" ht="12.75">
      <c r="A1169" s="167" t="s">
        <v>1000</v>
      </c>
      <c r="B1169" s="168">
        <v>445</v>
      </c>
      <c r="C1169" s="167" t="s">
        <v>985</v>
      </c>
      <c r="D1169" s="168">
        <v>47</v>
      </c>
      <c r="E1169" s="168" t="s">
        <v>1083</v>
      </c>
    </row>
    <row r="1170" spans="1:5" ht="12.75">
      <c r="A1170" s="167" t="s">
        <v>1001</v>
      </c>
      <c r="B1170" s="168">
        <v>445</v>
      </c>
      <c r="C1170" s="167" t="s">
        <v>985</v>
      </c>
      <c r="D1170" s="168">
        <v>31</v>
      </c>
      <c r="E1170" s="168">
        <v>7</v>
      </c>
    </row>
    <row r="1171" spans="1:5" ht="12.75">
      <c r="A1171" s="167" t="s">
        <v>1002</v>
      </c>
      <c r="B1171" s="168">
        <v>445</v>
      </c>
      <c r="C1171" s="167" t="s">
        <v>985</v>
      </c>
      <c r="D1171" s="168">
        <v>50</v>
      </c>
      <c r="E1171" s="168">
        <v>8</v>
      </c>
    </row>
    <row r="1172" spans="1:5" ht="12.75">
      <c r="A1172" s="167" t="s">
        <v>1003</v>
      </c>
      <c r="B1172" s="168">
        <v>445</v>
      </c>
      <c r="C1172" s="167" t="s">
        <v>985</v>
      </c>
      <c r="D1172" s="168">
        <v>51</v>
      </c>
      <c r="E1172" s="168">
        <v>22</v>
      </c>
    </row>
    <row r="1173" spans="1:5" ht="12.75">
      <c r="A1173" s="167" t="s">
        <v>1004</v>
      </c>
      <c r="B1173" s="168">
        <v>445</v>
      </c>
      <c r="C1173" s="167" t="s">
        <v>985</v>
      </c>
      <c r="D1173" s="168">
        <v>76</v>
      </c>
      <c r="E1173" s="168" t="s">
        <v>1083</v>
      </c>
    </row>
    <row r="1174" spans="1:5" ht="12.75">
      <c r="A1174" s="167" t="s">
        <v>1005</v>
      </c>
      <c r="B1174" s="168">
        <v>445</v>
      </c>
      <c r="C1174" s="167" t="s">
        <v>985</v>
      </c>
      <c r="D1174" s="168">
        <v>14</v>
      </c>
      <c r="E1174" s="168" t="s">
        <v>1083</v>
      </c>
    </row>
    <row r="1175" spans="1:5" ht="12.75">
      <c r="A1175" s="167" t="s">
        <v>1006</v>
      </c>
      <c r="B1175" s="168">
        <v>445</v>
      </c>
      <c r="C1175" s="167" t="s">
        <v>985</v>
      </c>
      <c r="D1175" s="168">
        <v>1</v>
      </c>
      <c r="E1175" s="168">
        <v>6</v>
      </c>
    </row>
    <row r="1176" spans="1:5" ht="12.75">
      <c r="A1176" s="167" t="s">
        <v>1007</v>
      </c>
      <c r="B1176" s="168">
        <v>445</v>
      </c>
      <c r="C1176" s="167" t="s">
        <v>985</v>
      </c>
      <c r="D1176" s="168">
        <v>39</v>
      </c>
      <c r="E1176" s="168" t="s">
        <v>1083</v>
      </c>
    </row>
    <row r="1177" spans="1:5" ht="12.75">
      <c r="A1177" s="167" t="s">
        <v>1008</v>
      </c>
      <c r="B1177" s="168">
        <v>445</v>
      </c>
      <c r="C1177" s="167" t="s">
        <v>985</v>
      </c>
      <c r="D1177" s="168">
        <v>69</v>
      </c>
      <c r="E1177" s="168">
        <v>25</v>
      </c>
    </row>
    <row r="1178" spans="1:5" ht="12.75">
      <c r="A1178" s="167" t="s">
        <v>1009</v>
      </c>
      <c r="B1178" s="168">
        <v>445</v>
      </c>
      <c r="C1178" s="167" t="s">
        <v>985</v>
      </c>
      <c r="D1178" s="168">
        <v>65</v>
      </c>
      <c r="E1178" s="168" t="s">
        <v>1083</v>
      </c>
    </row>
    <row r="1179" spans="1:5" ht="12.75">
      <c r="A1179" s="167" t="s">
        <v>1010</v>
      </c>
      <c r="B1179" s="168">
        <v>445</v>
      </c>
      <c r="C1179" s="167" t="s">
        <v>985</v>
      </c>
      <c r="D1179" s="168">
        <v>34</v>
      </c>
      <c r="E1179" s="168">
        <v>15</v>
      </c>
    </row>
    <row r="1180" spans="1:5" ht="12.75">
      <c r="A1180" s="167" t="s">
        <v>1011</v>
      </c>
      <c r="B1180" s="168">
        <v>445</v>
      </c>
      <c r="C1180" s="167" t="s">
        <v>985</v>
      </c>
      <c r="D1180" s="168">
        <v>67</v>
      </c>
      <c r="E1180" s="168">
        <v>14</v>
      </c>
    </row>
    <row r="1181" spans="1:5" ht="12.75">
      <c r="A1181" s="167" t="s">
        <v>1012</v>
      </c>
      <c r="B1181" s="168">
        <v>445</v>
      </c>
      <c r="C1181" s="167" t="s">
        <v>985</v>
      </c>
      <c r="D1181" s="168">
        <v>16</v>
      </c>
      <c r="E1181" s="168" t="s">
        <v>1083</v>
      </c>
    </row>
    <row r="1182" spans="1:5" ht="12.75">
      <c r="A1182" s="167" t="s">
        <v>1013</v>
      </c>
      <c r="B1182" s="168">
        <v>445</v>
      </c>
      <c r="C1182" s="167" t="s">
        <v>985</v>
      </c>
      <c r="D1182" s="168">
        <v>37</v>
      </c>
      <c r="E1182" s="168" t="s">
        <v>1083</v>
      </c>
    </row>
    <row r="1183" spans="1:5" ht="12.75">
      <c r="A1183" s="167" t="s">
        <v>1014</v>
      </c>
      <c r="B1183" s="168">
        <v>445</v>
      </c>
      <c r="C1183" s="167" t="s">
        <v>985</v>
      </c>
      <c r="D1183" s="168">
        <v>52</v>
      </c>
      <c r="E1183" s="168" t="s">
        <v>1083</v>
      </c>
    </row>
    <row r="1184" spans="1:5" ht="12.75">
      <c r="A1184" s="167" t="s">
        <v>1015</v>
      </c>
      <c r="B1184" s="168">
        <v>445</v>
      </c>
      <c r="C1184" s="167" t="s">
        <v>985</v>
      </c>
      <c r="D1184" s="168">
        <v>82</v>
      </c>
      <c r="E1184" s="168">
        <v>20</v>
      </c>
    </row>
    <row r="1185" spans="1:5" ht="12.75">
      <c r="A1185" s="167" t="s">
        <v>1016</v>
      </c>
      <c r="B1185" s="168">
        <v>445</v>
      </c>
      <c r="C1185" s="167" t="s">
        <v>985</v>
      </c>
      <c r="D1185" s="168">
        <v>17</v>
      </c>
      <c r="E1185" s="168" t="s">
        <v>1083</v>
      </c>
    </row>
    <row r="1186" spans="1:5" ht="12.75">
      <c r="A1186" s="167" t="s">
        <v>1017</v>
      </c>
      <c r="B1186" s="168">
        <v>445</v>
      </c>
      <c r="C1186" s="167" t="s">
        <v>985</v>
      </c>
      <c r="D1186" s="168">
        <v>79</v>
      </c>
      <c r="E1186" s="168" t="s">
        <v>1083</v>
      </c>
    </row>
    <row r="1187" spans="1:5" ht="12.75">
      <c r="A1187" s="167" t="s">
        <v>1018</v>
      </c>
      <c r="B1187" s="168">
        <v>445</v>
      </c>
      <c r="C1187" s="167" t="s">
        <v>985</v>
      </c>
      <c r="D1187" s="168">
        <v>74</v>
      </c>
      <c r="E1187" s="168" t="s">
        <v>1083</v>
      </c>
    </row>
    <row r="1188" spans="1:5" ht="12.75">
      <c r="A1188" s="167" t="s">
        <v>1019</v>
      </c>
      <c r="B1188" s="168">
        <v>445</v>
      </c>
      <c r="C1188" s="167" t="s">
        <v>985</v>
      </c>
      <c r="D1188" s="168">
        <v>72</v>
      </c>
      <c r="E1188" s="168" t="s">
        <v>1083</v>
      </c>
    </row>
    <row r="1189" spans="1:5" ht="12.75">
      <c r="A1189" s="167" t="s">
        <v>1020</v>
      </c>
      <c r="B1189" s="168">
        <v>445</v>
      </c>
      <c r="C1189" s="167" t="s">
        <v>985</v>
      </c>
      <c r="D1189" s="168">
        <v>80</v>
      </c>
      <c r="E1189" s="168">
        <v>1</v>
      </c>
    </row>
    <row r="1190" spans="1:5" ht="12.75">
      <c r="A1190" s="167" t="s">
        <v>1137</v>
      </c>
      <c r="B1190" s="168">
        <v>445</v>
      </c>
      <c r="C1190" s="167" t="s">
        <v>985</v>
      </c>
      <c r="D1190" s="168">
        <v>77</v>
      </c>
      <c r="E1190" s="168" t="s">
        <v>1083</v>
      </c>
    </row>
    <row r="1191" spans="1:5" ht="12.75">
      <c r="A1191" s="167" t="s">
        <v>1138</v>
      </c>
      <c r="B1191" s="168">
        <v>445</v>
      </c>
      <c r="C1191" s="167" t="s">
        <v>985</v>
      </c>
      <c r="D1191" s="168">
        <v>70</v>
      </c>
      <c r="E1191" s="168">
        <v>24</v>
      </c>
    </row>
    <row r="1192" spans="1:5" ht="12.75">
      <c r="A1192" s="167" t="s">
        <v>1139</v>
      </c>
      <c r="B1192" s="168">
        <v>445</v>
      </c>
      <c r="C1192" s="167" t="s">
        <v>985</v>
      </c>
      <c r="D1192" s="168">
        <v>81</v>
      </c>
      <c r="E1192" s="168">
        <v>4</v>
      </c>
    </row>
    <row r="1193" spans="1:5" ht="12.75">
      <c r="A1193" s="167" t="s">
        <v>1140</v>
      </c>
      <c r="B1193" s="168">
        <v>445</v>
      </c>
      <c r="C1193" s="167" t="s">
        <v>985</v>
      </c>
      <c r="D1193" s="168">
        <v>86</v>
      </c>
      <c r="E1193" s="168" t="s">
        <v>1083</v>
      </c>
    </row>
    <row r="1194" spans="1:5" ht="12.75">
      <c r="A1194" s="167" t="s">
        <v>1141</v>
      </c>
      <c r="B1194" s="168">
        <v>445</v>
      </c>
      <c r="C1194" s="167" t="s">
        <v>985</v>
      </c>
      <c r="D1194" s="168">
        <v>59</v>
      </c>
      <c r="E1194" s="168" t="s">
        <v>1083</v>
      </c>
    </row>
    <row r="1195" spans="1:5" ht="12.75">
      <c r="A1195" s="167" t="s">
        <v>1142</v>
      </c>
      <c r="B1195" s="168">
        <v>445</v>
      </c>
      <c r="C1195" s="167" t="s">
        <v>985</v>
      </c>
      <c r="D1195" s="168">
        <v>53</v>
      </c>
      <c r="E1195" s="168">
        <v>3</v>
      </c>
    </row>
    <row r="1196" spans="1:5" ht="12.75">
      <c r="A1196" s="167" t="s">
        <v>1143</v>
      </c>
      <c r="B1196" s="168">
        <v>445</v>
      </c>
      <c r="C1196" s="167" t="s">
        <v>985</v>
      </c>
      <c r="D1196" s="168">
        <v>21</v>
      </c>
      <c r="E1196" s="168" t="s">
        <v>1083</v>
      </c>
    </row>
    <row r="1197" spans="1:5" ht="12.75">
      <c r="A1197" s="167" t="s">
        <v>1144</v>
      </c>
      <c r="B1197" s="168">
        <v>445</v>
      </c>
      <c r="C1197" s="167" t="s">
        <v>985</v>
      </c>
      <c r="D1197" s="168">
        <v>54</v>
      </c>
      <c r="E1197" s="168">
        <v>26</v>
      </c>
    </row>
    <row r="1198" spans="1:5" ht="12.75">
      <c r="A1198" s="167" t="s">
        <v>1145</v>
      </c>
      <c r="B1198" s="168">
        <v>445</v>
      </c>
      <c r="C1198" s="167" t="s">
        <v>985</v>
      </c>
      <c r="D1198" s="168">
        <v>23</v>
      </c>
      <c r="E1198" s="168">
        <v>12</v>
      </c>
    </row>
    <row r="1199" spans="1:5" ht="12.75">
      <c r="A1199" s="167" t="s">
        <v>1146</v>
      </c>
      <c r="B1199" s="168">
        <v>445</v>
      </c>
      <c r="C1199" s="167" t="s">
        <v>985</v>
      </c>
      <c r="D1199" s="168">
        <v>24</v>
      </c>
      <c r="E1199" s="168">
        <v>23</v>
      </c>
    </row>
    <row r="1200" spans="1:5" ht="12.75">
      <c r="A1200" s="167" t="s">
        <v>1147</v>
      </c>
      <c r="B1200" s="168">
        <v>445</v>
      </c>
      <c r="C1200" s="167" t="s">
        <v>985</v>
      </c>
      <c r="D1200" s="168">
        <v>60</v>
      </c>
      <c r="E1200" s="168" t="s">
        <v>1083</v>
      </c>
    </row>
    <row r="1201" spans="1:5" ht="12.75">
      <c r="A1201" s="167" t="s">
        <v>1148</v>
      </c>
      <c r="B1201" s="168">
        <v>445</v>
      </c>
      <c r="C1201" s="167" t="s">
        <v>985</v>
      </c>
      <c r="D1201" s="168">
        <v>83</v>
      </c>
      <c r="E1201" s="168">
        <v>21</v>
      </c>
    </row>
    <row r="1202" spans="1:5" ht="12.75">
      <c r="A1202" s="167" t="s">
        <v>1149</v>
      </c>
      <c r="B1202" s="168">
        <v>445</v>
      </c>
      <c r="C1202" s="167" t="s">
        <v>985</v>
      </c>
      <c r="D1202" s="168">
        <v>8</v>
      </c>
      <c r="E1202" s="168" t="s">
        <v>1083</v>
      </c>
    </row>
    <row r="1203" spans="1:5" ht="12.75">
      <c r="A1203" s="167" t="s">
        <v>1150</v>
      </c>
      <c r="B1203" s="168">
        <v>445</v>
      </c>
      <c r="C1203" s="167" t="s">
        <v>985</v>
      </c>
      <c r="D1203" s="168">
        <v>26</v>
      </c>
      <c r="E1203" s="168" t="s">
        <v>1083</v>
      </c>
    </row>
    <row r="1204" spans="1:5" ht="12.75">
      <c r="A1204" s="167" t="s">
        <v>1151</v>
      </c>
      <c r="B1204" s="168">
        <v>445</v>
      </c>
      <c r="C1204" s="167" t="s">
        <v>985</v>
      </c>
      <c r="D1204" s="168">
        <v>40</v>
      </c>
      <c r="E1204" s="168" t="s">
        <v>1083</v>
      </c>
    </row>
    <row r="1205" spans="1:5" ht="12.75">
      <c r="A1205" s="167" t="s">
        <v>1152</v>
      </c>
      <c r="B1205" s="168">
        <v>445</v>
      </c>
      <c r="C1205" s="167" t="s">
        <v>985</v>
      </c>
      <c r="D1205" s="168">
        <v>32</v>
      </c>
      <c r="E1205" s="168">
        <v>10</v>
      </c>
    </row>
    <row r="1206" spans="1:5" ht="12.75">
      <c r="A1206" s="167" t="s">
        <v>1153</v>
      </c>
      <c r="B1206" s="168">
        <v>445</v>
      </c>
      <c r="C1206" s="167" t="s">
        <v>985</v>
      </c>
      <c r="D1206" s="168">
        <v>61</v>
      </c>
      <c r="E1206" s="168" t="s">
        <v>1083</v>
      </c>
    </row>
    <row r="1207" spans="1:5" ht="12.75">
      <c r="A1207" s="167" t="s">
        <v>1154</v>
      </c>
      <c r="B1207" s="168">
        <v>445</v>
      </c>
      <c r="C1207" s="167" t="s">
        <v>985</v>
      </c>
      <c r="D1207" s="168">
        <v>55</v>
      </c>
      <c r="E1207" s="168" t="s">
        <v>1083</v>
      </c>
    </row>
    <row r="1208" spans="1:5" ht="12.75">
      <c r="A1208" s="167" t="s">
        <v>1155</v>
      </c>
      <c r="B1208" s="168">
        <v>445</v>
      </c>
      <c r="C1208" s="167" t="s">
        <v>985</v>
      </c>
      <c r="D1208" s="168">
        <v>56</v>
      </c>
      <c r="E1208" s="168" t="s">
        <v>1083</v>
      </c>
    </row>
    <row r="1209" spans="1:5" ht="12.75">
      <c r="A1209" s="167" t="s">
        <v>1156</v>
      </c>
      <c r="B1209" s="168">
        <v>445</v>
      </c>
      <c r="C1209" s="167" t="s">
        <v>985</v>
      </c>
      <c r="D1209" s="168">
        <v>42</v>
      </c>
      <c r="E1209" s="168" t="s">
        <v>1083</v>
      </c>
    </row>
    <row r="1210" spans="1:5" ht="12.75">
      <c r="A1210" s="167" t="s">
        <v>1157</v>
      </c>
      <c r="B1210" s="168">
        <v>445</v>
      </c>
      <c r="C1210" s="167" t="s">
        <v>985</v>
      </c>
      <c r="D1210" s="168">
        <v>7</v>
      </c>
      <c r="E1210" s="168">
        <v>2</v>
      </c>
    </row>
    <row r="1211" spans="1:5" ht="12.75">
      <c r="A1211" s="167" t="s">
        <v>1158</v>
      </c>
      <c r="B1211" s="168">
        <v>445</v>
      </c>
      <c r="C1211" s="167" t="s">
        <v>985</v>
      </c>
      <c r="D1211" s="168">
        <v>84</v>
      </c>
      <c r="E1211" s="168" t="s">
        <v>1083</v>
      </c>
    </row>
    <row r="1212" spans="1:5" ht="12.75">
      <c r="A1212" s="167" t="s">
        <v>1159</v>
      </c>
      <c r="B1212" s="168">
        <v>445</v>
      </c>
      <c r="C1212" s="167" t="s">
        <v>985</v>
      </c>
      <c r="D1212" s="168">
        <v>85</v>
      </c>
      <c r="E1212" s="168" t="s">
        <v>1083</v>
      </c>
    </row>
    <row r="1213" spans="1:5" ht="12.75">
      <c r="A1213" s="167" t="s">
        <v>1160</v>
      </c>
      <c r="B1213" s="168">
        <v>445</v>
      </c>
      <c r="C1213" s="167" t="s">
        <v>985</v>
      </c>
      <c r="D1213" s="168">
        <v>27</v>
      </c>
      <c r="E1213" s="168">
        <v>13</v>
      </c>
    </row>
    <row r="1214" spans="1:5" ht="12.75">
      <c r="A1214" s="167" t="s">
        <v>1161</v>
      </c>
      <c r="B1214" s="168">
        <v>445</v>
      </c>
      <c r="C1214" s="167" t="s">
        <v>985</v>
      </c>
      <c r="D1214" s="168">
        <v>28</v>
      </c>
      <c r="E1214" s="168" t="s">
        <v>1083</v>
      </c>
    </row>
    <row r="1215" spans="1:5" ht="12.75">
      <c r="A1215" s="167" t="s">
        <v>1162</v>
      </c>
      <c r="B1215" s="168">
        <v>445</v>
      </c>
      <c r="C1215" s="167" t="s">
        <v>985</v>
      </c>
      <c r="D1215" s="168">
        <v>43</v>
      </c>
      <c r="E1215" s="168" t="s">
        <v>1083</v>
      </c>
    </row>
    <row r="1216" spans="1:5" ht="12.75">
      <c r="A1216" s="167" t="s">
        <v>1163</v>
      </c>
      <c r="B1216" s="168">
        <v>445</v>
      </c>
      <c r="C1216" s="167" t="s">
        <v>985</v>
      </c>
      <c r="D1216" s="168">
        <v>44</v>
      </c>
      <c r="E1216" s="168" t="s">
        <v>1083</v>
      </c>
    </row>
    <row r="1217" spans="1:5" ht="12.75">
      <c r="A1217" s="167" t="s">
        <v>1164</v>
      </c>
      <c r="B1217" s="168">
        <v>445</v>
      </c>
      <c r="C1217" s="167" t="s">
        <v>985</v>
      </c>
      <c r="D1217" s="168">
        <v>66</v>
      </c>
      <c r="E1217" s="168" t="s">
        <v>1083</v>
      </c>
    </row>
    <row r="1218" spans="1:5" ht="12.75">
      <c r="A1218" s="167" t="s">
        <v>1165</v>
      </c>
      <c r="B1218" s="168">
        <v>445</v>
      </c>
      <c r="C1218" s="167" t="s">
        <v>985</v>
      </c>
      <c r="D1218" s="168">
        <v>9</v>
      </c>
      <c r="E1218" s="168" t="s">
        <v>1083</v>
      </c>
    </row>
    <row r="1219" spans="1:5" ht="12.75">
      <c r="A1219" s="167" t="s">
        <v>1166</v>
      </c>
      <c r="B1219" s="168">
        <v>445</v>
      </c>
      <c r="C1219" s="167" t="s">
        <v>985</v>
      </c>
      <c r="D1219" s="168">
        <v>71</v>
      </c>
      <c r="E1219" s="168" t="s">
        <v>1083</v>
      </c>
    </row>
    <row r="1220" spans="1:5" ht="12.75">
      <c r="A1220" s="167" t="s">
        <v>1167</v>
      </c>
      <c r="B1220" s="168">
        <v>445</v>
      </c>
      <c r="C1220" s="167" t="s">
        <v>985</v>
      </c>
      <c r="D1220" s="168">
        <v>75</v>
      </c>
      <c r="E1220" s="168">
        <v>28</v>
      </c>
    </row>
    <row r="1221" spans="1:5" ht="12.75">
      <c r="A1221" s="167" t="s">
        <v>1168</v>
      </c>
      <c r="B1221" s="168">
        <v>445</v>
      </c>
      <c r="C1221" s="167" t="s">
        <v>985</v>
      </c>
      <c r="D1221" s="168">
        <v>30</v>
      </c>
      <c r="E1221" s="168" t="s">
        <v>1083</v>
      </c>
    </row>
    <row r="1222" spans="1:5" ht="12.75">
      <c r="A1222" s="167" t="s">
        <v>1169</v>
      </c>
      <c r="B1222" s="168">
        <v>445</v>
      </c>
      <c r="C1222" s="167" t="s">
        <v>985</v>
      </c>
      <c r="D1222" s="168">
        <v>73</v>
      </c>
      <c r="E1222" s="168" t="s">
        <v>1083</v>
      </c>
    </row>
    <row r="1223" spans="1:5" ht="12.75">
      <c r="A1223" s="167" t="s">
        <v>1170</v>
      </c>
      <c r="B1223" s="168">
        <v>445</v>
      </c>
      <c r="C1223" s="167" t="s">
        <v>985</v>
      </c>
      <c r="D1223" s="168">
        <v>45</v>
      </c>
      <c r="E1223" s="168">
        <v>9</v>
      </c>
    </row>
    <row r="1224" spans="1:5" ht="12.75">
      <c r="A1224" s="167" t="s">
        <v>1171</v>
      </c>
      <c r="B1224" s="168">
        <v>23</v>
      </c>
      <c r="C1224" s="167" t="s">
        <v>1172</v>
      </c>
      <c r="D1224" s="168">
        <v>567</v>
      </c>
      <c r="E1224" s="168" t="s">
        <v>1083</v>
      </c>
    </row>
    <row r="1225" spans="1:5" ht="12.75">
      <c r="A1225" s="167" t="s">
        <v>1173</v>
      </c>
      <c r="B1225" s="168">
        <v>23</v>
      </c>
      <c r="C1225" s="167" t="s">
        <v>1172</v>
      </c>
      <c r="D1225" s="168">
        <v>611</v>
      </c>
      <c r="E1225" s="168">
        <v>4</v>
      </c>
    </row>
    <row r="1226" spans="1:5" ht="12.75">
      <c r="A1226" s="167" t="s">
        <v>1174</v>
      </c>
      <c r="B1226" s="168">
        <v>23</v>
      </c>
      <c r="C1226" s="167" t="s">
        <v>1172</v>
      </c>
      <c r="D1226" s="168">
        <v>513</v>
      </c>
      <c r="E1226" s="168" t="s">
        <v>1083</v>
      </c>
    </row>
    <row r="1227" spans="1:5" ht="12.75">
      <c r="A1227" s="167" t="s">
        <v>1175</v>
      </c>
      <c r="B1227" s="168">
        <v>23</v>
      </c>
      <c r="C1227" s="167" t="s">
        <v>1172</v>
      </c>
      <c r="D1227" s="168">
        <v>376</v>
      </c>
      <c r="E1227" s="168" t="s">
        <v>1083</v>
      </c>
    </row>
    <row r="1228" spans="1:5" ht="12.75">
      <c r="A1228" s="167" t="s">
        <v>1176</v>
      </c>
      <c r="B1228" s="168">
        <v>23</v>
      </c>
      <c r="C1228" s="167" t="s">
        <v>1172</v>
      </c>
      <c r="D1228" s="168">
        <v>356</v>
      </c>
      <c r="E1228" s="168" t="s">
        <v>1083</v>
      </c>
    </row>
    <row r="1229" spans="1:5" ht="12.75">
      <c r="A1229" s="167" t="s">
        <v>1177</v>
      </c>
      <c r="B1229" s="168">
        <v>23</v>
      </c>
      <c r="C1229" s="167" t="s">
        <v>1172</v>
      </c>
      <c r="D1229" s="168">
        <v>610</v>
      </c>
      <c r="E1229" s="168">
        <v>2</v>
      </c>
    </row>
    <row r="1230" spans="1:5" ht="12.75">
      <c r="A1230" s="167" t="s">
        <v>1178</v>
      </c>
      <c r="B1230" s="168">
        <v>23</v>
      </c>
      <c r="C1230" s="167" t="s">
        <v>1172</v>
      </c>
      <c r="D1230" s="168">
        <v>563</v>
      </c>
      <c r="E1230" s="168" t="s">
        <v>1083</v>
      </c>
    </row>
    <row r="1231" spans="1:5" ht="12.75">
      <c r="A1231" s="167" t="s">
        <v>1179</v>
      </c>
      <c r="B1231" s="168">
        <v>23</v>
      </c>
      <c r="C1231" s="167" t="s">
        <v>1172</v>
      </c>
      <c r="D1231" s="168">
        <v>615</v>
      </c>
      <c r="E1231" s="168" t="s">
        <v>1083</v>
      </c>
    </row>
    <row r="1232" spans="1:5" ht="12.75">
      <c r="A1232" s="167" t="s">
        <v>1180</v>
      </c>
      <c r="B1232" s="168">
        <v>23</v>
      </c>
      <c r="C1232" s="167" t="s">
        <v>1172</v>
      </c>
      <c r="D1232" s="168">
        <v>622</v>
      </c>
      <c r="E1232" s="168" t="s">
        <v>1083</v>
      </c>
    </row>
    <row r="1233" spans="1:5" ht="12.75">
      <c r="A1233" s="167" t="s">
        <v>1181</v>
      </c>
      <c r="B1233" s="168">
        <v>23</v>
      </c>
      <c r="C1233" s="167" t="s">
        <v>1172</v>
      </c>
      <c r="D1233" s="168">
        <v>25</v>
      </c>
      <c r="E1233" s="168" t="s">
        <v>1083</v>
      </c>
    </row>
    <row r="1234" spans="1:5" ht="12.75">
      <c r="A1234" s="167" t="s">
        <v>1182</v>
      </c>
      <c r="B1234" s="168">
        <v>23</v>
      </c>
      <c r="C1234" s="167" t="s">
        <v>1172</v>
      </c>
      <c r="D1234" s="168">
        <v>210</v>
      </c>
      <c r="E1234" s="168" t="s">
        <v>1083</v>
      </c>
    </row>
    <row r="1235" spans="1:5" ht="12.75">
      <c r="A1235" s="167" t="s">
        <v>1183</v>
      </c>
      <c r="B1235" s="168">
        <v>23</v>
      </c>
      <c r="C1235" s="167" t="s">
        <v>1172</v>
      </c>
      <c r="D1235" s="168">
        <v>67</v>
      </c>
      <c r="E1235" s="168" t="s">
        <v>1083</v>
      </c>
    </row>
    <row r="1236" spans="1:5" ht="12.75">
      <c r="A1236" s="167" t="s">
        <v>1184</v>
      </c>
      <c r="B1236" s="168">
        <v>23</v>
      </c>
      <c r="C1236" s="167" t="s">
        <v>1172</v>
      </c>
      <c r="D1236" s="168">
        <v>370</v>
      </c>
      <c r="E1236" s="168" t="s">
        <v>1083</v>
      </c>
    </row>
    <row r="1237" spans="1:5" ht="12.75">
      <c r="A1237" s="167" t="s">
        <v>1185</v>
      </c>
      <c r="B1237" s="168">
        <v>23</v>
      </c>
      <c r="C1237" s="167" t="s">
        <v>1172</v>
      </c>
      <c r="D1237" s="168">
        <v>550</v>
      </c>
      <c r="E1237" s="168">
        <v>9</v>
      </c>
    </row>
    <row r="1238" spans="1:5" ht="12.75">
      <c r="A1238" s="167" t="s">
        <v>1186</v>
      </c>
      <c r="B1238" s="168">
        <v>23</v>
      </c>
      <c r="C1238" s="167" t="s">
        <v>1172</v>
      </c>
      <c r="D1238" s="168">
        <v>270</v>
      </c>
      <c r="E1238" s="168" t="s">
        <v>1083</v>
      </c>
    </row>
    <row r="1239" spans="1:5" ht="12.75">
      <c r="A1239" s="167" t="s">
        <v>1187</v>
      </c>
      <c r="B1239" s="168">
        <v>23</v>
      </c>
      <c r="C1239" s="167" t="s">
        <v>1172</v>
      </c>
      <c r="D1239" s="168">
        <v>606</v>
      </c>
      <c r="E1239" s="168" t="s">
        <v>1083</v>
      </c>
    </row>
    <row r="1240" spans="1:5" ht="12.75">
      <c r="A1240" s="167" t="s">
        <v>1188</v>
      </c>
      <c r="B1240" s="168">
        <v>23</v>
      </c>
      <c r="C1240" s="167" t="s">
        <v>1172</v>
      </c>
      <c r="D1240" s="168">
        <v>561</v>
      </c>
      <c r="E1240" s="168" t="s">
        <v>1083</v>
      </c>
    </row>
    <row r="1241" spans="1:5" ht="12.75">
      <c r="A1241" s="167" t="s">
        <v>1189</v>
      </c>
      <c r="B1241" s="168">
        <v>23</v>
      </c>
      <c r="C1241" s="167" t="s">
        <v>1172</v>
      </c>
      <c r="D1241" s="168">
        <v>438</v>
      </c>
      <c r="E1241" s="168" t="s">
        <v>1083</v>
      </c>
    </row>
    <row r="1242" spans="1:5" ht="12.75">
      <c r="A1242" s="167" t="s">
        <v>1190</v>
      </c>
      <c r="B1242" s="168">
        <v>23</v>
      </c>
      <c r="C1242" s="167" t="s">
        <v>1172</v>
      </c>
      <c r="D1242" s="168">
        <v>78</v>
      </c>
      <c r="E1242" s="168" t="s">
        <v>1083</v>
      </c>
    </row>
    <row r="1243" spans="1:5" ht="12.75">
      <c r="A1243" s="167" t="s">
        <v>1191</v>
      </c>
      <c r="B1243" s="168">
        <v>23</v>
      </c>
      <c r="C1243" s="167" t="s">
        <v>1172</v>
      </c>
      <c r="D1243" s="168">
        <v>556</v>
      </c>
      <c r="E1243" s="168" t="s">
        <v>1083</v>
      </c>
    </row>
    <row r="1244" spans="1:5" ht="12.75">
      <c r="A1244" s="167" t="s">
        <v>1192</v>
      </c>
      <c r="B1244" s="168">
        <v>23</v>
      </c>
      <c r="C1244" s="167" t="s">
        <v>1172</v>
      </c>
      <c r="D1244" s="168">
        <v>21</v>
      </c>
      <c r="E1244" s="168" t="s">
        <v>1083</v>
      </c>
    </row>
    <row r="1245" spans="1:5" ht="12.75">
      <c r="A1245" s="167" t="s">
        <v>1193</v>
      </c>
      <c r="B1245" s="168">
        <v>23</v>
      </c>
      <c r="C1245" s="167" t="s">
        <v>1172</v>
      </c>
      <c r="D1245" s="168">
        <v>580</v>
      </c>
      <c r="E1245" s="168" t="s">
        <v>1083</v>
      </c>
    </row>
    <row r="1246" spans="1:5" ht="12.75">
      <c r="A1246" s="167" t="s">
        <v>1194</v>
      </c>
      <c r="B1246" s="168">
        <v>23</v>
      </c>
      <c r="C1246" s="167" t="s">
        <v>1172</v>
      </c>
      <c r="D1246" s="168">
        <v>581</v>
      </c>
      <c r="E1246" s="168" t="s">
        <v>1083</v>
      </c>
    </row>
    <row r="1247" spans="1:5" ht="12.75">
      <c r="A1247" s="167" t="s">
        <v>1195</v>
      </c>
      <c r="B1247" s="168">
        <v>23</v>
      </c>
      <c r="C1247" s="167" t="s">
        <v>1172</v>
      </c>
      <c r="D1247" s="168">
        <v>557</v>
      </c>
      <c r="E1247" s="168" t="s">
        <v>1083</v>
      </c>
    </row>
    <row r="1248" spans="1:5" ht="12.75">
      <c r="A1248" s="167" t="s">
        <v>1196</v>
      </c>
      <c r="B1248" s="168">
        <v>23</v>
      </c>
      <c r="C1248" s="167" t="s">
        <v>1172</v>
      </c>
      <c r="D1248" s="168">
        <v>576</v>
      </c>
      <c r="E1248" s="168" t="s">
        <v>1083</v>
      </c>
    </row>
    <row r="1249" spans="1:5" ht="12.75">
      <c r="A1249" s="167" t="s">
        <v>1197</v>
      </c>
      <c r="B1249" s="168">
        <v>23</v>
      </c>
      <c r="C1249" s="167" t="s">
        <v>1172</v>
      </c>
      <c r="D1249" s="168">
        <v>575</v>
      </c>
      <c r="E1249" s="168" t="s">
        <v>1083</v>
      </c>
    </row>
    <row r="1250" spans="1:5" ht="12.75">
      <c r="A1250" s="167" t="s">
        <v>1198</v>
      </c>
      <c r="B1250" s="168">
        <v>23</v>
      </c>
      <c r="C1250" s="167" t="s">
        <v>1172</v>
      </c>
      <c r="D1250" s="168">
        <v>601</v>
      </c>
      <c r="E1250" s="168" t="s">
        <v>1083</v>
      </c>
    </row>
    <row r="1251" spans="1:5" ht="12.75">
      <c r="A1251" s="167" t="s">
        <v>1199</v>
      </c>
      <c r="B1251" s="168">
        <v>23</v>
      </c>
      <c r="C1251" s="167" t="s">
        <v>1172</v>
      </c>
      <c r="D1251" s="168">
        <v>362</v>
      </c>
      <c r="E1251" s="168" t="s">
        <v>1083</v>
      </c>
    </row>
    <row r="1252" spans="1:5" ht="12.75">
      <c r="A1252" s="167" t="s">
        <v>1200</v>
      </c>
      <c r="B1252" s="168">
        <v>23</v>
      </c>
      <c r="C1252" s="167" t="s">
        <v>1172</v>
      </c>
      <c r="D1252" s="168">
        <v>624</v>
      </c>
      <c r="E1252" s="168" t="s">
        <v>1083</v>
      </c>
    </row>
    <row r="1253" spans="1:5" ht="12.75">
      <c r="A1253" s="167" t="s">
        <v>1201</v>
      </c>
      <c r="B1253" s="168">
        <v>23</v>
      </c>
      <c r="C1253" s="167" t="s">
        <v>1172</v>
      </c>
      <c r="D1253" s="168">
        <v>341</v>
      </c>
      <c r="E1253" s="168" t="s">
        <v>1083</v>
      </c>
    </row>
    <row r="1254" spans="1:5" ht="12.75">
      <c r="A1254" s="167" t="s">
        <v>1202</v>
      </c>
      <c r="B1254" s="168">
        <v>23</v>
      </c>
      <c r="C1254" s="167" t="s">
        <v>1172</v>
      </c>
      <c r="D1254" s="168">
        <v>619</v>
      </c>
      <c r="E1254" s="168" t="s">
        <v>1083</v>
      </c>
    </row>
    <row r="1255" spans="1:5" ht="12.75">
      <c r="A1255" s="167" t="s">
        <v>1203</v>
      </c>
      <c r="B1255" s="168">
        <v>23</v>
      </c>
      <c r="C1255" s="167" t="s">
        <v>1172</v>
      </c>
      <c r="D1255" s="168">
        <v>614</v>
      </c>
      <c r="E1255" s="168">
        <v>12</v>
      </c>
    </row>
    <row r="1256" spans="1:5" ht="12.75">
      <c r="A1256" s="167" t="s">
        <v>1204</v>
      </c>
      <c r="B1256" s="168">
        <v>23</v>
      </c>
      <c r="C1256" s="167" t="s">
        <v>1172</v>
      </c>
      <c r="D1256" s="168">
        <v>531</v>
      </c>
      <c r="E1256" s="168" t="s">
        <v>1083</v>
      </c>
    </row>
    <row r="1257" spans="1:5" ht="12.75">
      <c r="A1257" s="167" t="s">
        <v>1205</v>
      </c>
      <c r="B1257" s="168">
        <v>23</v>
      </c>
      <c r="C1257" s="167" t="s">
        <v>1172</v>
      </c>
      <c r="D1257" s="168">
        <v>460</v>
      </c>
      <c r="E1257" s="168" t="s">
        <v>1083</v>
      </c>
    </row>
    <row r="1258" spans="1:5" ht="12.75">
      <c r="A1258" s="167" t="s">
        <v>1206</v>
      </c>
      <c r="B1258" s="168">
        <v>23</v>
      </c>
      <c r="C1258" s="167" t="s">
        <v>1172</v>
      </c>
      <c r="D1258" s="168">
        <v>258</v>
      </c>
      <c r="E1258" s="168" t="s">
        <v>1083</v>
      </c>
    </row>
    <row r="1259" spans="1:5" ht="12.75">
      <c r="A1259" s="167" t="s">
        <v>1207</v>
      </c>
      <c r="B1259" s="168">
        <v>23</v>
      </c>
      <c r="C1259" s="167" t="s">
        <v>1172</v>
      </c>
      <c r="D1259" s="168">
        <v>23</v>
      </c>
      <c r="E1259" s="168" t="s">
        <v>1083</v>
      </c>
    </row>
    <row r="1260" spans="1:5" ht="12.75">
      <c r="A1260" s="167" t="s">
        <v>1208</v>
      </c>
      <c r="B1260" s="168">
        <v>23</v>
      </c>
      <c r="C1260" s="167" t="s">
        <v>1172</v>
      </c>
      <c r="D1260" s="168">
        <v>617</v>
      </c>
      <c r="E1260" s="168" t="s">
        <v>1083</v>
      </c>
    </row>
    <row r="1261" spans="1:5" ht="12.75">
      <c r="A1261" s="167" t="s">
        <v>1209</v>
      </c>
      <c r="B1261" s="168">
        <v>23</v>
      </c>
      <c r="C1261" s="167" t="s">
        <v>1172</v>
      </c>
      <c r="D1261" s="168">
        <v>621</v>
      </c>
      <c r="E1261" s="168">
        <v>11</v>
      </c>
    </row>
    <row r="1262" spans="1:5" ht="12.75">
      <c r="A1262" s="167" t="s">
        <v>1210</v>
      </c>
      <c r="B1262" s="168">
        <v>23</v>
      </c>
      <c r="C1262" s="167" t="s">
        <v>1172</v>
      </c>
      <c r="D1262" s="168">
        <v>598</v>
      </c>
      <c r="E1262" s="168" t="s">
        <v>1083</v>
      </c>
    </row>
    <row r="1263" spans="1:5" ht="12.75">
      <c r="A1263" s="167" t="s">
        <v>1211</v>
      </c>
      <c r="B1263" s="168">
        <v>23</v>
      </c>
      <c r="C1263" s="167" t="s">
        <v>1172</v>
      </c>
      <c r="D1263" s="168">
        <v>599</v>
      </c>
      <c r="E1263" s="168" t="s">
        <v>1083</v>
      </c>
    </row>
    <row r="1264" spans="1:5" ht="12.75">
      <c r="A1264" s="167" t="s">
        <v>1212</v>
      </c>
      <c r="B1264" s="168">
        <v>23</v>
      </c>
      <c r="C1264" s="167" t="s">
        <v>1172</v>
      </c>
      <c r="D1264" s="168">
        <v>584</v>
      </c>
      <c r="E1264" s="168" t="s">
        <v>1083</v>
      </c>
    </row>
    <row r="1265" spans="1:5" ht="12.75">
      <c r="A1265" s="167" t="s">
        <v>1213</v>
      </c>
      <c r="B1265" s="168">
        <v>23</v>
      </c>
      <c r="C1265" s="167" t="s">
        <v>1172</v>
      </c>
      <c r="D1265" s="168">
        <v>609</v>
      </c>
      <c r="E1265" s="168">
        <v>8</v>
      </c>
    </row>
    <row r="1266" spans="1:5" ht="12.75">
      <c r="A1266" s="167" t="s">
        <v>1214</v>
      </c>
      <c r="B1266" s="168">
        <v>23</v>
      </c>
      <c r="C1266" s="167" t="s">
        <v>1172</v>
      </c>
      <c r="D1266" s="168">
        <v>591</v>
      </c>
      <c r="E1266" s="168" t="s">
        <v>1083</v>
      </c>
    </row>
    <row r="1267" spans="1:5" ht="12.75">
      <c r="A1267" s="167" t="s">
        <v>1215</v>
      </c>
      <c r="B1267" s="168">
        <v>23</v>
      </c>
      <c r="C1267" s="167" t="s">
        <v>1172</v>
      </c>
      <c r="D1267" s="168">
        <v>607</v>
      </c>
      <c r="E1267" s="168">
        <v>1</v>
      </c>
    </row>
    <row r="1268" spans="1:5" ht="12.75">
      <c r="A1268" s="167" t="s">
        <v>1216</v>
      </c>
      <c r="B1268" s="168">
        <v>23</v>
      </c>
      <c r="C1268" s="167" t="s">
        <v>1172</v>
      </c>
      <c r="D1268" s="168">
        <v>381</v>
      </c>
      <c r="E1268" s="168" t="s">
        <v>1083</v>
      </c>
    </row>
    <row r="1269" spans="1:5" ht="12.75">
      <c r="A1269" s="167" t="s">
        <v>1217</v>
      </c>
      <c r="B1269" s="168">
        <v>23</v>
      </c>
      <c r="C1269" s="167" t="s">
        <v>1172</v>
      </c>
      <c r="D1269" s="168">
        <v>625</v>
      </c>
      <c r="E1269" s="168" t="s">
        <v>1083</v>
      </c>
    </row>
    <row r="1270" spans="1:5" ht="12.75">
      <c r="A1270" s="167" t="s">
        <v>1218</v>
      </c>
      <c r="B1270" s="168">
        <v>23</v>
      </c>
      <c r="C1270" s="167" t="s">
        <v>1172</v>
      </c>
      <c r="D1270" s="168">
        <v>623</v>
      </c>
      <c r="E1270" s="168">
        <v>7</v>
      </c>
    </row>
    <row r="1271" spans="1:5" ht="12.75">
      <c r="A1271" s="167" t="s">
        <v>1219</v>
      </c>
      <c r="B1271" s="168">
        <v>23</v>
      </c>
      <c r="C1271" s="167" t="s">
        <v>1172</v>
      </c>
      <c r="D1271" s="168">
        <v>524</v>
      </c>
      <c r="E1271" s="168" t="s">
        <v>1083</v>
      </c>
    </row>
    <row r="1272" spans="1:5" ht="12.75">
      <c r="A1272" s="167" t="s">
        <v>1220</v>
      </c>
      <c r="B1272" s="168">
        <v>23</v>
      </c>
      <c r="C1272" s="167" t="s">
        <v>1172</v>
      </c>
      <c r="D1272" s="168">
        <v>603</v>
      </c>
      <c r="E1272" s="168" t="s">
        <v>1083</v>
      </c>
    </row>
    <row r="1273" spans="1:5" ht="12.75">
      <c r="A1273" s="167" t="s">
        <v>1221</v>
      </c>
      <c r="B1273" s="168">
        <v>23</v>
      </c>
      <c r="C1273" s="167" t="s">
        <v>1172</v>
      </c>
      <c r="D1273" s="168">
        <v>121</v>
      </c>
      <c r="E1273" s="168" t="s">
        <v>1083</v>
      </c>
    </row>
    <row r="1274" spans="1:5" ht="12.75">
      <c r="A1274" s="167" t="s">
        <v>1222</v>
      </c>
      <c r="B1274" s="168">
        <v>23</v>
      </c>
      <c r="C1274" s="167" t="s">
        <v>1172</v>
      </c>
      <c r="D1274" s="168">
        <v>585</v>
      </c>
      <c r="E1274" s="168" t="s">
        <v>1083</v>
      </c>
    </row>
    <row r="1275" spans="1:5" ht="12.75">
      <c r="A1275" s="167" t="s">
        <v>1223</v>
      </c>
      <c r="B1275" s="168">
        <v>23</v>
      </c>
      <c r="C1275" s="167" t="s">
        <v>1172</v>
      </c>
      <c r="D1275" s="168">
        <v>468</v>
      </c>
      <c r="E1275" s="168" t="s">
        <v>1083</v>
      </c>
    </row>
    <row r="1276" spans="1:5" ht="12.75">
      <c r="A1276" s="167" t="s">
        <v>1224</v>
      </c>
      <c r="B1276" s="168">
        <v>23</v>
      </c>
      <c r="C1276" s="167" t="s">
        <v>1172</v>
      </c>
      <c r="D1276" s="168">
        <v>5</v>
      </c>
      <c r="E1276" s="168" t="s">
        <v>1083</v>
      </c>
    </row>
    <row r="1277" spans="1:5" ht="12.75">
      <c r="A1277" s="167" t="s">
        <v>1225</v>
      </c>
      <c r="B1277" s="168">
        <v>23</v>
      </c>
      <c r="C1277" s="167" t="s">
        <v>1172</v>
      </c>
      <c r="D1277" s="168">
        <v>149</v>
      </c>
      <c r="E1277" s="168" t="s">
        <v>1083</v>
      </c>
    </row>
    <row r="1278" spans="1:5" ht="12.75">
      <c r="A1278" s="167" t="s">
        <v>1226</v>
      </c>
      <c r="B1278" s="168">
        <v>23</v>
      </c>
      <c r="C1278" s="167" t="s">
        <v>1172</v>
      </c>
      <c r="D1278" s="168">
        <v>569</v>
      </c>
      <c r="E1278" s="168" t="s">
        <v>1083</v>
      </c>
    </row>
    <row r="1279" spans="1:5" ht="12.75">
      <c r="A1279" s="167" t="s">
        <v>1227</v>
      </c>
      <c r="B1279" s="168">
        <v>23</v>
      </c>
      <c r="C1279" s="167" t="s">
        <v>1172</v>
      </c>
      <c r="D1279" s="168">
        <v>12</v>
      </c>
      <c r="E1279" s="168" t="s">
        <v>1083</v>
      </c>
    </row>
    <row r="1280" spans="1:5" ht="12.75">
      <c r="A1280" s="167" t="s">
        <v>1228</v>
      </c>
      <c r="B1280" s="168">
        <v>23</v>
      </c>
      <c r="C1280" s="167" t="s">
        <v>1172</v>
      </c>
      <c r="D1280" s="168">
        <v>554</v>
      </c>
      <c r="E1280" s="168">
        <v>10</v>
      </c>
    </row>
    <row r="1281" spans="1:5" ht="12.75">
      <c r="A1281" s="167" t="s">
        <v>1229</v>
      </c>
      <c r="B1281" s="168">
        <v>23</v>
      </c>
      <c r="C1281" s="167" t="s">
        <v>1172</v>
      </c>
      <c r="D1281" s="168">
        <v>263</v>
      </c>
      <c r="E1281" s="168" t="s">
        <v>1083</v>
      </c>
    </row>
    <row r="1282" spans="1:5" ht="12.75">
      <c r="A1282" s="167" t="s">
        <v>1230</v>
      </c>
      <c r="B1282" s="168">
        <v>23</v>
      </c>
      <c r="C1282" s="167" t="s">
        <v>1172</v>
      </c>
      <c r="D1282" s="168">
        <v>604</v>
      </c>
      <c r="E1282" s="168" t="s">
        <v>1083</v>
      </c>
    </row>
    <row r="1283" spans="1:5" ht="12.75">
      <c r="A1283" s="167" t="s">
        <v>1231</v>
      </c>
      <c r="B1283" s="168">
        <v>23</v>
      </c>
      <c r="C1283" s="167" t="s">
        <v>1172</v>
      </c>
      <c r="D1283" s="168">
        <v>414</v>
      </c>
      <c r="E1283" s="168" t="s">
        <v>1083</v>
      </c>
    </row>
    <row r="1284" spans="1:5" ht="12.75">
      <c r="A1284" s="167" t="s">
        <v>1232</v>
      </c>
      <c r="B1284" s="168">
        <v>23</v>
      </c>
      <c r="C1284" s="167" t="s">
        <v>1172</v>
      </c>
      <c r="D1284" s="168">
        <v>504</v>
      </c>
      <c r="E1284" s="168" t="s">
        <v>1083</v>
      </c>
    </row>
    <row r="1285" spans="1:5" ht="12.75">
      <c r="A1285" s="167" t="s">
        <v>1233</v>
      </c>
      <c r="B1285" s="168">
        <v>23</v>
      </c>
      <c r="C1285" s="167" t="s">
        <v>1172</v>
      </c>
      <c r="D1285" s="168">
        <v>620</v>
      </c>
      <c r="E1285" s="168">
        <v>13</v>
      </c>
    </row>
    <row r="1286" spans="1:5" ht="12.75">
      <c r="A1286" s="167" t="s">
        <v>1234</v>
      </c>
      <c r="B1286" s="168">
        <v>23</v>
      </c>
      <c r="C1286" s="167" t="s">
        <v>1172</v>
      </c>
      <c r="D1286" s="168">
        <v>587</v>
      </c>
      <c r="E1286" s="168">
        <v>3</v>
      </c>
    </row>
    <row r="1287" spans="1:5" ht="12.75">
      <c r="A1287" s="167" t="s">
        <v>1235</v>
      </c>
      <c r="B1287" s="168">
        <v>23</v>
      </c>
      <c r="C1287" s="167" t="s">
        <v>1172</v>
      </c>
      <c r="D1287" s="168">
        <v>544</v>
      </c>
      <c r="E1287" s="168" t="s">
        <v>1083</v>
      </c>
    </row>
    <row r="1288" spans="1:5" ht="12.75">
      <c r="A1288" s="167" t="s">
        <v>1236</v>
      </c>
      <c r="B1288" s="168">
        <v>23</v>
      </c>
      <c r="C1288" s="167" t="s">
        <v>1172</v>
      </c>
      <c r="D1288" s="168">
        <v>560</v>
      </c>
      <c r="E1288" s="168" t="s">
        <v>1083</v>
      </c>
    </row>
    <row r="1289" spans="1:5" ht="12.75">
      <c r="A1289" s="167" t="s">
        <v>1237</v>
      </c>
      <c r="B1289" s="168">
        <v>23</v>
      </c>
      <c r="C1289" s="167" t="s">
        <v>1172</v>
      </c>
      <c r="D1289" s="168">
        <v>295</v>
      </c>
      <c r="E1289" s="168" t="s">
        <v>1083</v>
      </c>
    </row>
    <row r="1290" spans="1:5" ht="12.75">
      <c r="A1290" s="167" t="s">
        <v>1238</v>
      </c>
      <c r="B1290" s="168">
        <v>23</v>
      </c>
      <c r="C1290" s="167" t="s">
        <v>1172</v>
      </c>
      <c r="D1290" s="168">
        <v>11</v>
      </c>
      <c r="E1290" s="168" t="s">
        <v>1083</v>
      </c>
    </row>
    <row r="1291" spans="1:5" ht="12.75">
      <c r="A1291" s="167" t="s">
        <v>1239</v>
      </c>
      <c r="B1291" s="168">
        <v>23</v>
      </c>
      <c r="C1291" s="167" t="s">
        <v>1172</v>
      </c>
      <c r="D1291" s="168">
        <v>605</v>
      </c>
      <c r="E1291" s="168">
        <v>5</v>
      </c>
    </row>
    <row r="1292" spans="1:5" ht="12.75">
      <c r="A1292" s="167" t="s">
        <v>1240</v>
      </c>
      <c r="B1292" s="168">
        <v>23</v>
      </c>
      <c r="C1292" s="167" t="s">
        <v>1172</v>
      </c>
      <c r="D1292" s="168">
        <v>562</v>
      </c>
      <c r="E1292" s="168" t="s">
        <v>1083</v>
      </c>
    </row>
    <row r="1293" spans="1:5" ht="12.75">
      <c r="A1293" s="167" t="s">
        <v>1241</v>
      </c>
      <c r="B1293" s="168">
        <v>23</v>
      </c>
      <c r="C1293" s="167" t="s">
        <v>1172</v>
      </c>
      <c r="D1293" s="168">
        <v>516</v>
      </c>
      <c r="E1293" s="168" t="s">
        <v>1083</v>
      </c>
    </row>
    <row r="1294" spans="1:5" ht="12.75">
      <c r="A1294" s="167" t="s">
        <v>1242</v>
      </c>
      <c r="B1294" s="168">
        <v>23</v>
      </c>
      <c r="C1294" s="167" t="s">
        <v>1172</v>
      </c>
      <c r="D1294" s="168">
        <v>525</v>
      </c>
      <c r="E1294" s="168" t="s">
        <v>1083</v>
      </c>
    </row>
    <row r="1295" spans="1:5" ht="12.75">
      <c r="A1295" s="167" t="s">
        <v>1243</v>
      </c>
      <c r="B1295" s="168">
        <v>23</v>
      </c>
      <c r="C1295" s="167" t="s">
        <v>1172</v>
      </c>
      <c r="D1295" s="168">
        <v>27</v>
      </c>
      <c r="E1295" s="168" t="s">
        <v>1083</v>
      </c>
    </row>
    <row r="1296" spans="1:5" ht="12.75">
      <c r="A1296" s="167" t="s">
        <v>1244</v>
      </c>
      <c r="B1296" s="168">
        <v>23</v>
      </c>
      <c r="C1296" s="167" t="s">
        <v>1172</v>
      </c>
      <c r="D1296" s="168">
        <v>568</v>
      </c>
      <c r="E1296" s="168" t="s">
        <v>1083</v>
      </c>
    </row>
    <row r="1297" spans="1:5" ht="12.75">
      <c r="A1297" s="167" t="s">
        <v>1245</v>
      </c>
      <c r="B1297" s="168">
        <v>146</v>
      </c>
      <c r="C1297" s="167" t="s">
        <v>1246</v>
      </c>
      <c r="D1297" s="168">
        <v>4</v>
      </c>
      <c r="E1297" s="168">
        <v>8</v>
      </c>
    </row>
    <row r="1298" spans="1:5" ht="12.75">
      <c r="A1298" s="167" t="s">
        <v>1247</v>
      </c>
      <c r="B1298" s="168">
        <v>146</v>
      </c>
      <c r="C1298" s="167" t="s">
        <v>1246</v>
      </c>
      <c r="D1298" s="168">
        <v>57</v>
      </c>
      <c r="E1298" s="168">
        <v>15</v>
      </c>
    </row>
    <row r="1299" spans="1:5" ht="12.75">
      <c r="A1299" s="167" t="s">
        <v>1248</v>
      </c>
      <c r="B1299" s="168">
        <v>146</v>
      </c>
      <c r="C1299" s="167" t="s">
        <v>1246</v>
      </c>
      <c r="D1299" s="168">
        <v>10</v>
      </c>
      <c r="E1299" s="168" t="s">
        <v>1083</v>
      </c>
    </row>
    <row r="1300" spans="1:5" ht="12.75">
      <c r="A1300" s="167" t="s">
        <v>1249</v>
      </c>
      <c r="B1300" s="168">
        <v>146</v>
      </c>
      <c r="C1300" s="167" t="s">
        <v>1246</v>
      </c>
      <c r="D1300" s="168">
        <v>105</v>
      </c>
      <c r="E1300" s="168">
        <v>1</v>
      </c>
    </row>
    <row r="1301" spans="1:5" ht="12.75">
      <c r="A1301" s="167" t="s">
        <v>1250</v>
      </c>
      <c r="B1301" s="168">
        <v>146</v>
      </c>
      <c r="C1301" s="167" t="s">
        <v>1246</v>
      </c>
      <c r="D1301" s="168">
        <v>73</v>
      </c>
      <c r="E1301" s="168" t="s">
        <v>1083</v>
      </c>
    </row>
    <row r="1302" spans="1:5" ht="12.75">
      <c r="A1302" s="167" t="s">
        <v>1251</v>
      </c>
      <c r="B1302" s="168">
        <v>146</v>
      </c>
      <c r="C1302" s="167" t="s">
        <v>1246</v>
      </c>
      <c r="D1302" s="168">
        <v>106</v>
      </c>
      <c r="E1302" s="168">
        <v>2</v>
      </c>
    </row>
    <row r="1303" spans="1:5" ht="12.75">
      <c r="A1303" s="167" t="s">
        <v>1252</v>
      </c>
      <c r="B1303" s="168">
        <v>146</v>
      </c>
      <c r="C1303" s="167" t="s">
        <v>1246</v>
      </c>
      <c r="D1303" s="168">
        <v>101</v>
      </c>
      <c r="E1303" s="168">
        <v>3</v>
      </c>
    </row>
    <row r="1304" spans="1:5" ht="12.75">
      <c r="A1304" s="167" t="s">
        <v>1253</v>
      </c>
      <c r="B1304" s="168">
        <v>146</v>
      </c>
      <c r="C1304" s="167" t="s">
        <v>1246</v>
      </c>
      <c r="D1304" s="168">
        <v>16</v>
      </c>
      <c r="E1304" s="168" t="s">
        <v>1083</v>
      </c>
    </row>
    <row r="1305" spans="1:5" ht="12.75">
      <c r="A1305" s="167" t="s">
        <v>1254</v>
      </c>
      <c r="B1305" s="168">
        <v>146</v>
      </c>
      <c r="C1305" s="167" t="s">
        <v>1246</v>
      </c>
      <c r="D1305" s="168">
        <v>18</v>
      </c>
      <c r="E1305" s="168" t="s">
        <v>1083</v>
      </c>
    </row>
    <row r="1306" spans="1:5" ht="12.75">
      <c r="A1306" s="167" t="s">
        <v>1255</v>
      </c>
      <c r="B1306" s="168">
        <v>146</v>
      </c>
      <c r="C1306" s="167" t="s">
        <v>1246</v>
      </c>
      <c r="D1306" s="168">
        <v>82</v>
      </c>
      <c r="E1306" s="168" t="s">
        <v>1083</v>
      </c>
    </row>
    <row r="1307" spans="1:5" ht="12.75">
      <c r="A1307" s="167" t="s">
        <v>1256</v>
      </c>
      <c r="B1307" s="168">
        <v>146</v>
      </c>
      <c r="C1307" s="167" t="s">
        <v>1246</v>
      </c>
      <c r="D1307" s="168">
        <v>26</v>
      </c>
      <c r="E1307" s="168">
        <v>10</v>
      </c>
    </row>
    <row r="1308" spans="1:5" ht="12.75">
      <c r="A1308" s="167" t="s">
        <v>1206</v>
      </c>
      <c r="B1308" s="168">
        <v>146</v>
      </c>
      <c r="C1308" s="167" t="s">
        <v>1246</v>
      </c>
      <c r="D1308" s="168">
        <v>27</v>
      </c>
      <c r="E1308" s="168">
        <v>9</v>
      </c>
    </row>
    <row r="1309" spans="1:5" ht="12.75">
      <c r="A1309" s="167" t="s">
        <v>1257</v>
      </c>
      <c r="B1309" s="168">
        <v>146</v>
      </c>
      <c r="C1309" s="167" t="s">
        <v>1246</v>
      </c>
      <c r="D1309" s="168">
        <v>95</v>
      </c>
      <c r="E1309" s="168" t="s">
        <v>1083</v>
      </c>
    </row>
    <row r="1310" spans="1:5" ht="12.75">
      <c r="A1310" s="167" t="s">
        <v>1258</v>
      </c>
      <c r="B1310" s="168">
        <v>146</v>
      </c>
      <c r="C1310" s="167" t="s">
        <v>1246</v>
      </c>
      <c r="D1310" s="168">
        <v>104</v>
      </c>
      <c r="E1310" s="168" t="s">
        <v>1083</v>
      </c>
    </row>
    <row r="1311" spans="1:5" ht="12.75">
      <c r="A1311" s="167" t="s">
        <v>1259</v>
      </c>
      <c r="B1311" s="168">
        <v>146</v>
      </c>
      <c r="C1311" s="167" t="s">
        <v>1246</v>
      </c>
      <c r="D1311" s="168">
        <v>60</v>
      </c>
      <c r="E1311" s="168" t="s">
        <v>1083</v>
      </c>
    </row>
    <row r="1312" spans="1:5" ht="12.75">
      <c r="A1312" s="167" t="s">
        <v>1260</v>
      </c>
      <c r="B1312" s="168">
        <v>146</v>
      </c>
      <c r="C1312" s="167" t="s">
        <v>1246</v>
      </c>
      <c r="D1312" s="168">
        <v>91</v>
      </c>
      <c r="E1312" s="168">
        <v>13</v>
      </c>
    </row>
    <row r="1313" spans="1:5" ht="12.75">
      <c r="A1313" s="167" t="s">
        <v>1261</v>
      </c>
      <c r="B1313" s="168">
        <v>146</v>
      </c>
      <c r="C1313" s="167" t="s">
        <v>1246</v>
      </c>
      <c r="D1313" s="168">
        <v>94</v>
      </c>
      <c r="E1313" s="168">
        <v>11</v>
      </c>
    </row>
    <row r="1314" spans="1:5" ht="12.75">
      <c r="A1314" s="167" t="s">
        <v>1262</v>
      </c>
      <c r="B1314" s="168">
        <v>146</v>
      </c>
      <c r="C1314" s="167" t="s">
        <v>1246</v>
      </c>
      <c r="D1314" s="168">
        <v>108</v>
      </c>
      <c r="E1314" s="168">
        <v>4</v>
      </c>
    </row>
    <row r="1315" spans="1:5" ht="12.75">
      <c r="A1315" s="167" t="s">
        <v>1263</v>
      </c>
      <c r="B1315" s="168">
        <v>146</v>
      </c>
      <c r="C1315" s="167" t="s">
        <v>1246</v>
      </c>
      <c r="D1315" s="168">
        <v>114</v>
      </c>
      <c r="E1315" s="168" t="s">
        <v>1083</v>
      </c>
    </row>
    <row r="1316" spans="1:5" ht="12.75">
      <c r="A1316" s="167" t="s">
        <v>1264</v>
      </c>
      <c r="B1316" s="168">
        <v>146</v>
      </c>
      <c r="C1316" s="167" t="s">
        <v>1246</v>
      </c>
      <c r="D1316" s="168">
        <v>63</v>
      </c>
      <c r="E1316" s="168" t="s">
        <v>1083</v>
      </c>
    </row>
    <row r="1317" spans="1:5" ht="12.75">
      <c r="A1317" s="167" t="s">
        <v>1265</v>
      </c>
      <c r="B1317" s="168">
        <v>146</v>
      </c>
      <c r="C1317" s="167" t="s">
        <v>1246</v>
      </c>
      <c r="D1317" s="168">
        <v>44</v>
      </c>
      <c r="E1317" s="168">
        <v>12</v>
      </c>
    </row>
    <row r="1318" spans="1:5" ht="12.75">
      <c r="A1318" s="167" t="s">
        <v>1266</v>
      </c>
      <c r="B1318" s="168">
        <v>146</v>
      </c>
      <c r="C1318" s="167" t="s">
        <v>1246</v>
      </c>
      <c r="D1318" s="168">
        <v>67</v>
      </c>
      <c r="E1318" s="168">
        <v>14</v>
      </c>
    </row>
    <row r="1319" spans="1:5" ht="12.75">
      <c r="A1319" s="167" t="s">
        <v>1267</v>
      </c>
      <c r="B1319" s="168">
        <v>146</v>
      </c>
      <c r="C1319" s="167" t="s">
        <v>1246</v>
      </c>
      <c r="D1319" s="168">
        <v>107</v>
      </c>
      <c r="E1319" s="168">
        <v>6</v>
      </c>
    </row>
    <row r="1320" spans="1:5" ht="12.75">
      <c r="A1320" s="167" t="s">
        <v>1268</v>
      </c>
      <c r="B1320" s="168">
        <v>146</v>
      </c>
      <c r="C1320" s="167" t="s">
        <v>1246</v>
      </c>
      <c r="D1320" s="168">
        <v>100</v>
      </c>
      <c r="E1320" s="168">
        <v>5</v>
      </c>
    </row>
    <row r="1321" spans="1:5" ht="12.75">
      <c r="A1321" s="167" t="s">
        <v>1269</v>
      </c>
      <c r="B1321" s="168">
        <v>146</v>
      </c>
      <c r="C1321" s="167" t="s">
        <v>1246</v>
      </c>
      <c r="D1321" s="168">
        <v>80</v>
      </c>
      <c r="E1321" s="168" t="s">
        <v>1083</v>
      </c>
    </row>
    <row r="1322" spans="1:5" ht="12.75">
      <c r="A1322" s="167" t="s">
        <v>1270</v>
      </c>
      <c r="B1322" s="168">
        <v>146</v>
      </c>
      <c r="C1322" s="167" t="s">
        <v>1246</v>
      </c>
      <c r="D1322" s="168">
        <v>113</v>
      </c>
      <c r="E1322" s="168">
        <v>7</v>
      </c>
    </row>
    <row r="1323" spans="1:5" ht="12.75">
      <c r="A1323" s="167" t="s">
        <v>1271</v>
      </c>
      <c r="B1323" s="168">
        <v>304</v>
      </c>
      <c r="C1323" s="167" t="s">
        <v>1272</v>
      </c>
      <c r="D1323" s="168">
        <v>2</v>
      </c>
      <c r="E1323" s="168">
        <v>5</v>
      </c>
    </row>
    <row r="1324" spans="1:5" ht="12.75">
      <c r="A1324" s="167" t="s">
        <v>1273</v>
      </c>
      <c r="B1324" s="168">
        <v>304</v>
      </c>
      <c r="C1324" s="167" t="s">
        <v>1272</v>
      </c>
      <c r="D1324" s="168">
        <v>20</v>
      </c>
      <c r="E1324" s="168" t="s">
        <v>1083</v>
      </c>
    </row>
    <row r="1325" spans="1:5" ht="12.75">
      <c r="A1325" s="167" t="s">
        <v>1274</v>
      </c>
      <c r="B1325" s="168">
        <v>304</v>
      </c>
      <c r="C1325" s="167" t="s">
        <v>1272</v>
      </c>
      <c r="D1325" s="168">
        <v>14</v>
      </c>
      <c r="E1325" s="168">
        <v>2</v>
      </c>
    </row>
    <row r="1326" spans="1:5" ht="12.75">
      <c r="A1326" s="167" t="s">
        <v>1275</v>
      </c>
      <c r="B1326" s="168">
        <v>304</v>
      </c>
      <c r="C1326" s="167" t="s">
        <v>1272</v>
      </c>
      <c r="D1326" s="168">
        <v>13</v>
      </c>
      <c r="E1326" s="168">
        <v>1</v>
      </c>
    </row>
    <row r="1327" spans="1:5" ht="12.75">
      <c r="A1327" s="167" t="s">
        <v>1276</v>
      </c>
      <c r="B1327" s="168">
        <v>304</v>
      </c>
      <c r="C1327" s="167" t="s">
        <v>1272</v>
      </c>
      <c r="D1327" s="168">
        <v>38</v>
      </c>
      <c r="E1327" s="168" t="s">
        <v>1083</v>
      </c>
    </row>
    <row r="1328" spans="1:5" ht="12.75">
      <c r="A1328" s="167" t="s">
        <v>1277</v>
      </c>
      <c r="B1328" s="168">
        <v>304</v>
      </c>
      <c r="C1328" s="167" t="s">
        <v>1272</v>
      </c>
      <c r="D1328" s="168">
        <v>5</v>
      </c>
      <c r="E1328" s="168">
        <v>3</v>
      </c>
    </row>
    <row r="1329" spans="1:5" ht="12.75">
      <c r="A1329" s="167" t="s">
        <v>1278</v>
      </c>
      <c r="B1329" s="168">
        <v>304</v>
      </c>
      <c r="C1329" s="167" t="s">
        <v>1272</v>
      </c>
      <c r="D1329" s="168">
        <v>27</v>
      </c>
      <c r="E1329" s="168" t="s">
        <v>1083</v>
      </c>
    </row>
    <row r="1330" spans="1:5" ht="12.75">
      <c r="A1330" s="167" t="s">
        <v>1279</v>
      </c>
      <c r="B1330" s="168">
        <v>304</v>
      </c>
      <c r="C1330" s="167" t="s">
        <v>1272</v>
      </c>
      <c r="D1330" s="168">
        <v>10</v>
      </c>
      <c r="E1330" s="168">
        <v>4</v>
      </c>
    </row>
    <row r="1331" spans="1:5" ht="12.75">
      <c r="A1331" s="167" t="s">
        <v>1280</v>
      </c>
      <c r="B1331" s="168">
        <v>304</v>
      </c>
      <c r="C1331" s="167" t="s">
        <v>1272</v>
      </c>
      <c r="D1331" s="168">
        <v>50</v>
      </c>
      <c r="E1331" s="168">
        <v>6</v>
      </c>
    </row>
    <row r="1332" spans="1:5" ht="12.75">
      <c r="A1332" s="167" t="s">
        <v>1281</v>
      </c>
      <c r="B1332" s="168">
        <v>314</v>
      </c>
      <c r="C1332" s="167" t="s">
        <v>1282</v>
      </c>
      <c r="D1332" s="168">
        <v>41</v>
      </c>
      <c r="E1332" s="168">
        <v>1</v>
      </c>
    </row>
    <row r="1333" spans="1:5" ht="12.75">
      <c r="A1333" s="167" t="s">
        <v>1283</v>
      </c>
      <c r="B1333" s="168">
        <v>314</v>
      </c>
      <c r="C1333" s="167" t="s">
        <v>1282</v>
      </c>
      <c r="D1333" s="168">
        <v>101</v>
      </c>
      <c r="E1333" s="168" t="s">
        <v>1083</v>
      </c>
    </row>
    <row r="1334" spans="1:5" ht="12.75">
      <c r="A1334" s="167" t="s">
        <v>1284</v>
      </c>
      <c r="B1334" s="168">
        <v>314</v>
      </c>
      <c r="C1334" s="167" t="s">
        <v>1282</v>
      </c>
      <c r="D1334" s="168">
        <v>132</v>
      </c>
      <c r="E1334" s="168">
        <v>2</v>
      </c>
    </row>
    <row r="1335" spans="1:5" ht="12.75">
      <c r="A1335" s="167" t="s">
        <v>1285</v>
      </c>
      <c r="B1335" s="168">
        <v>314</v>
      </c>
      <c r="C1335" s="167" t="s">
        <v>1282</v>
      </c>
      <c r="D1335" s="168">
        <v>50</v>
      </c>
      <c r="E1335" s="168">
        <v>21</v>
      </c>
    </row>
    <row r="1336" spans="1:5" ht="12.75">
      <c r="A1336" s="167" t="s">
        <v>1286</v>
      </c>
      <c r="B1336" s="168">
        <v>314</v>
      </c>
      <c r="C1336" s="167" t="s">
        <v>1282</v>
      </c>
      <c r="D1336" s="168">
        <v>157</v>
      </c>
      <c r="E1336" s="168" t="s">
        <v>1083</v>
      </c>
    </row>
    <row r="1337" spans="1:5" ht="12.75">
      <c r="A1337" s="167" t="s">
        <v>1287</v>
      </c>
      <c r="B1337" s="168">
        <v>314</v>
      </c>
      <c r="C1337" s="167" t="s">
        <v>1282</v>
      </c>
      <c r="D1337" s="168">
        <v>162</v>
      </c>
      <c r="E1337" s="168" t="s">
        <v>1083</v>
      </c>
    </row>
    <row r="1338" spans="1:5" ht="12.75">
      <c r="A1338" s="167" t="s">
        <v>1288</v>
      </c>
      <c r="B1338" s="168">
        <v>314</v>
      </c>
      <c r="C1338" s="167" t="s">
        <v>1282</v>
      </c>
      <c r="D1338" s="168">
        <v>7</v>
      </c>
      <c r="E1338" s="168">
        <v>3</v>
      </c>
    </row>
    <row r="1339" spans="1:5" ht="12.75">
      <c r="A1339" s="167" t="s">
        <v>1289</v>
      </c>
      <c r="B1339" s="168">
        <v>314</v>
      </c>
      <c r="C1339" s="167" t="s">
        <v>1282</v>
      </c>
      <c r="D1339" s="168">
        <v>156</v>
      </c>
      <c r="E1339" s="168">
        <v>11</v>
      </c>
    </row>
    <row r="1340" spans="1:5" ht="12.75">
      <c r="A1340" s="167" t="s">
        <v>1290</v>
      </c>
      <c r="B1340" s="168">
        <v>314</v>
      </c>
      <c r="C1340" s="167" t="s">
        <v>1282</v>
      </c>
      <c r="D1340" s="168">
        <v>126</v>
      </c>
      <c r="E1340" s="168" t="s">
        <v>1083</v>
      </c>
    </row>
    <row r="1341" spans="1:5" ht="12.75">
      <c r="A1341" s="167" t="s">
        <v>1291</v>
      </c>
      <c r="B1341" s="168">
        <v>314</v>
      </c>
      <c r="C1341" s="167" t="s">
        <v>1282</v>
      </c>
      <c r="D1341" s="168">
        <v>8</v>
      </c>
      <c r="E1341" s="168">
        <v>17</v>
      </c>
    </row>
    <row r="1342" spans="1:5" ht="12.75">
      <c r="A1342" s="167" t="s">
        <v>1292</v>
      </c>
      <c r="B1342" s="168">
        <v>314</v>
      </c>
      <c r="C1342" s="167" t="s">
        <v>1282</v>
      </c>
      <c r="D1342" s="168">
        <v>10</v>
      </c>
      <c r="E1342" s="168">
        <v>22</v>
      </c>
    </row>
    <row r="1343" spans="1:5" ht="12.75">
      <c r="A1343" s="167" t="s">
        <v>1293</v>
      </c>
      <c r="B1343" s="168">
        <v>314</v>
      </c>
      <c r="C1343" s="167" t="s">
        <v>1282</v>
      </c>
      <c r="D1343" s="168">
        <v>56</v>
      </c>
      <c r="E1343" s="168">
        <v>6</v>
      </c>
    </row>
    <row r="1344" spans="1:5" ht="12.75">
      <c r="A1344" s="167" t="s">
        <v>1294</v>
      </c>
      <c r="B1344" s="168">
        <v>314</v>
      </c>
      <c r="C1344" s="167" t="s">
        <v>1282</v>
      </c>
      <c r="D1344" s="168">
        <v>139</v>
      </c>
      <c r="E1344" s="168" t="s">
        <v>1083</v>
      </c>
    </row>
    <row r="1345" spans="1:5" ht="12.75">
      <c r="A1345" s="167" t="s">
        <v>1295</v>
      </c>
      <c r="B1345" s="168">
        <v>314</v>
      </c>
      <c r="C1345" s="167" t="s">
        <v>1282</v>
      </c>
      <c r="D1345" s="168">
        <v>109</v>
      </c>
      <c r="E1345" s="168">
        <v>5</v>
      </c>
    </row>
    <row r="1346" spans="1:5" ht="12.75">
      <c r="A1346" s="167" t="s">
        <v>1296</v>
      </c>
      <c r="B1346" s="168">
        <v>314</v>
      </c>
      <c r="C1346" s="167" t="s">
        <v>1282</v>
      </c>
      <c r="D1346" s="168">
        <v>141</v>
      </c>
      <c r="E1346" s="168">
        <v>13</v>
      </c>
    </row>
    <row r="1347" spans="1:5" ht="12.75">
      <c r="A1347" s="167" t="s">
        <v>1297</v>
      </c>
      <c r="B1347" s="168">
        <v>314</v>
      </c>
      <c r="C1347" s="167" t="s">
        <v>1282</v>
      </c>
      <c r="D1347" s="168">
        <v>11</v>
      </c>
      <c r="E1347" s="168">
        <v>19</v>
      </c>
    </row>
    <row r="1348" spans="1:5" ht="12.75">
      <c r="A1348" s="167" t="s">
        <v>921</v>
      </c>
      <c r="B1348" s="168">
        <v>314</v>
      </c>
      <c r="C1348" s="167" t="s">
        <v>1282</v>
      </c>
      <c r="D1348" s="168">
        <v>159</v>
      </c>
      <c r="E1348" s="168">
        <v>10</v>
      </c>
    </row>
    <row r="1349" spans="1:5" ht="12.75">
      <c r="A1349" s="167" t="s">
        <v>922</v>
      </c>
      <c r="B1349" s="168">
        <v>314</v>
      </c>
      <c r="C1349" s="167" t="s">
        <v>1282</v>
      </c>
      <c r="D1349" s="168">
        <v>160</v>
      </c>
      <c r="E1349" s="168" t="s">
        <v>1083</v>
      </c>
    </row>
    <row r="1350" spans="1:5" ht="12.75">
      <c r="A1350" s="167" t="s">
        <v>1298</v>
      </c>
      <c r="B1350" s="168">
        <v>314</v>
      </c>
      <c r="C1350" s="167" t="s">
        <v>1282</v>
      </c>
      <c r="D1350" s="168">
        <v>43</v>
      </c>
      <c r="E1350" s="168">
        <v>16</v>
      </c>
    </row>
    <row r="1351" spans="1:5" ht="12.75">
      <c r="A1351" s="167" t="s">
        <v>1299</v>
      </c>
      <c r="B1351" s="168">
        <v>314</v>
      </c>
      <c r="C1351" s="167" t="s">
        <v>1282</v>
      </c>
      <c r="D1351" s="168">
        <v>83</v>
      </c>
      <c r="E1351" s="168" t="s">
        <v>1083</v>
      </c>
    </row>
    <row r="1352" spans="1:5" ht="12.75">
      <c r="A1352" s="167" t="s">
        <v>1300</v>
      </c>
      <c r="B1352" s="168">
        <v>314</v>
      </c>
      <c r="C1352" s="167" t="s">
        <v>1282</v>
      </c>
      <c r="D1352" s="168">
        <v>14</v>
      </c>
      <c r="E1352" s="168" t="s">
        <v>1083</v>
      </c>
    </row>
    <row r="1353" spans="1:5" ht="12.75">
      <c r="A1353" s="167" t="s">
        <v>1301</v>
      </c>
      <c r="B1353" s="168">
        <v>314</v>
      </c>
      <c r="C1353" s="167" t="s">
        <v>1282</v>
      </c>
      <c r="D1353" s="168">
        <v>39</v>
      </c>
      <c r="E1353" s="168" t="s">
        <v>1083</v>
      </c>
    </row>
    <row r="1354" spans="1:5" ht="12.75">
      <c r="A1354" s="167" t="s">
        <v>1302</v>
      </c>
      <c r="B1354" s="168">
        <v>314</v>
      </c>
      <c r="C1354" s="167" t="s">
        <v>1282</v>
      </c>
      <c r="D1354" s="168">
        <v>161</v>
      </c>
      <c r="E1354" s="168" t="s">
        <v>1083</v>
      </c>
    </row>
    <row r="1355" spans="1:5" ht="12.75">
      <c r="A1355" s="167" t="s">
        <v>1303</v>
      </c>
      <c r="B1355" s="168">
        <v>314</v>
      </c>
      <c r="C1355" s="167" t="s">
        <v>1282</v>
      </c>
      <c r="D1355" s="168">
        <v>71</v>
      </c>
      <c r="E1355" s="168" t="s">
        <v>1083</v>
      </c>
    </row>
    <row r="1356" spans="1:5" ht="12.75">
      <c r="A1356" s="167" t="s">
        <v>256</v>
      </c>
      <c r="B1356" s="168">
        <v>314</v>
      </c>
      <c r="C1356" s="167" t="s">
        <v>1282</v>
      </c>
      <c r="D1356" s="168">
        <v>35</v>
      </c>
      <c r="E1356" s="168">
        <v>20</v>
      </c>
    </row>
    <row r="1357" spans="1:5" ht="12.75">
      <c r="A1357" s="167" t="s">
        <v>1304</v>
      </c>
      <c r="B1357" s="168">
        <v>314</v>
      </c>
      <c r="C1357" s="167" t="s">
        <v>1282</v>
      </c>
      <c r="D1357" s="168">
        <v>2</v>
      </c>
      <c r="E1357" s="168" t="s">
        <v>1083</v>
      </c>
    </row>
    <row r="1358" spans="1:5" ht="12.75">
      <c r="A1358" s="167" t="s">
        <v>1305</v>
      </c>
      <c r="B1358" s="168">
        <v>314</v>
      </c>
      <c r="C1358" s="167" t="s">
        <v>1282</v>
      </c>
      <c r="D1358" s="168">
        <v>32</v>
      </c>
      <c r="E1358" s="168" t="s">
        <v>1083</v>
      </c>
    </row>
    <row r="1359" spans="1:5" ht="12.75">
      <c r="A1359" s="167" t="s">
        <v>1306</v>
      </c>
      <c r="B1359" s="168">
        <v>314</v>
      </c>
      <c r="C1359" s="167" t="s">
        <v>1282</v>
      </c>
      <c r="D1359" s="168">
        <v>15</v>
      </c>
      <c r="E1359" s="168">
        <v>9</v>
      </c>
    </row>
    <row r="1360" spans="1:5" ht="12.75">
      <c r="A1360" s="167" t="s">
        <v>1307</v>
      </c>
      <c r="B1360" s="168">
        <v>314</v>
      </c>
      <c r="C1360" s="167" t="s">
        <v>1282</v>
      </c>
      <c r="D1360" s="168">
        <v>163</v>
      </c>
      <c r="E1360" s="168" t="s">
        <v>1083</v>
      </c>
    </row>
    <row r="1361" spans="1:5" ht="12.75">
      <c r="A1361" s="167" t="s">
        <v>1308</v>
      </c>
      <c r="B1361" s="168">
        <v>314</v>
      </c>
      <c r="C1361" s="167" t="s">
        <v>1282</v>
      </c>
      <c r="D1361" s="168">
        <v>90</v>
      </c>
      <c r="E1361" s="168" t="s">
        <v>1083</v>
      </c>
    </row>
    <row r="1362" spans="1:5" ht="12.75">
      <c r="A1362" s="167" t="s">
        <v>1309</v>
      </c>
      <c r="B1362" s="168">
        <v>314</v>
      </c>
      <c r="C1362" s="167" t="s">
        <v>1282</v>
      </c>
      <c r="D1362" s="168">
        <v>155</v>
      </c>
      <c r="E1362" s="168" t="s">
        <v>1083</v>
      </c>
    </row>
    <row r="1363" spans="1:5" ht="12.75">
      <c r="A1363" s="167" t="s">
        <v>1310</v>
      </c>
      <c r="B1363" s="168">
        <v>314</v>
      </c>
      <c r="C1363" s="167" t="s">
        <v>1282</v>
      </c>
      <c r="D1363" s="168">
        <v>91</v>
      </c>
      <c r="E1363" s="168">
        <v>18</v>
      </c>
    </row>
    <row r="1364" spans="1:5" ht="12.75">
      <c r="A1364" s="167" t="s">
        <v>1311</v>
      </c>
      <c r="B1364" s="168">
        <v>314</v>
      </c>
      <c r="C1364" s="167" t="s">
        <v>1282</v>
      </c>
      <c r="D1364" s="168">
        <v>61</v>
      </c>
      <c r="E1364" s="168" t="s">
        <v>1083</v>
      </c>
    </row>
    <row r="1365" spans="1:5" ht="12.75">
      <c r="A1365" s="167" t="s">
        <v>1312</v>
      </c>
      <c r="B1365" s="168">
        <v>314</v>
      </c>
      <c r="C1365" s="167" t="s">
        <v>1282</v>
      </c>
      <c r="D1365" s="168">
        <v>93</v>
      </c>
      <c r="E1365" s="168" t="s">
        <v>1083</v>
      </c>
    </row>
    <row r="1366" spans="1:5" ht="12.75">
      <c r="A1366" s="167" t="s">
        <v>1313</v>
      </c>
      <c r="B1366" s="168">
        <v>314</v>
      </c>
      <c r="C1366" s="167" t="s">
        <v>1282</v>
      </c>
      <c r="D1366" s="168">
        <v>40</v>
      </c>
      <c r="E1366" s="168">
        <v>7</v>
      </c>
    </row>
    <row r="1367" spans="1:5" ht="12.75">
      <c r="A1367" s="167" t="s">
        <v>1314</v>
      </c>
      <c r="B1367" s="168">
        <v>314</v>
      </c>
      <c r="C1367" s="167" t="s">
        <v>1282</v>
      </c>
      <c r="D1367" s="168">
        <v>151</v>
      </c>
      <c r="E1367" s="168">
        <v>12</v>
      </c>
    </row>
    <row r="1368" spans="1:5" ht="12.75">
      <c r="A1368" s="167" t="s">
        <v>1315</v>
      </c>
      <c r="B1368" s="168">
        <v>314</v>
      </c>
      <c r="C1368" s="167" t="s">
        <v>1282</v>
      </c>
      <c r="D1368" s="168">
        <v>152</v>
      </c>
      <c r="E1368" s="168">
        <v>8</v>
      </c>
    </row>
    <row r="1369" spans="1:5" ht="12.75">
      <c r="A1369" s="167" t="s">
        <v>1316</v>
      </c>
      <c r="B1369" s="168">
        <v>314</v>
      </c>
      <c r="C1369" s="167" t="s">
        <v>1282</v>
      </c>
      <c r="D1369" s="168">
        <v>85</v>
      </c>
      <c r="E1369" s="168" t="s">
        <v>1083</v>
      </c>
    </row>
    <row r="1370" spans="1:5" ht="12.75">
      <c r="A1370" s="167" t="s">
        <v>1317</v>
      </c>
      <c r="B1370" s="168">
        <v>314</v>
      </c>
      <c r="C1370" s="167" t="s">
        <v>1282</v>
      </c>
      <c r="D1370" s="168">
        <v>23</v>
      </c>
      <c r="E1370" s="168" t="s">
        <v>1083</v>
      </c>
    </row>
    <row r="1371" spans="1:5" ht="12.75">
      <c r="A1371" s="167" t="s">
        <v>1318</v>
      </c>
      <c r="B1371" s="168">
        <v>314</v>
      </c>
      <c r="C1371" s="167" t="s">
        <v>1282</v>
      </c>
      <c r="D1371" s="168">
        <v>121</v>
      </c>
      <c r="E1371" s="168">
        <v>15</v>
      </c>
    </row>
    <row r="1372" spans="1:5" ht="12.75">
      <c r="A1372" s="167" t="s">
        <v>1021</v>
      </c>
      <c r="B1372" s="168">
        <v>314</v>
      </c>
      <c r="C1372" s="167" t="s">
        <v>1282</v>
      </c>
      <c r="D1372" s="168">
        <v>4</v>
      </c>
      <c r="E1372" s="168">
        <v>4</v>
      </c>
    </row>
    <row r="1373" spans="1:5" ht="12.75">
      <c r="A1373" s="167" t="s">
        <v>1319</v>
      </c>
      <c r="B1373" s="168">
        <v>314</v>
      </c>
      <c r="C1373" s="167" t="s">
        <v>1282</v>
      </c>
      <c r="D1373" s="168">
        <v>25</v>
      </c>
      <c r="E1373" s="168" t="s">
        <v>1083</v>
      </c>
    </row>
    <row r="1374" spans="1:5" ht="12.75">
      <c r="A1374" s="167" t="s">
        <v>1320</v>
      </c>
      <c r="B1374" s="168">
        <v>314</v>
      </c>
      <c r="C1374" s="167" t="s">
        <v>1282</v>
      </c>
      <c r="D1374" s="168">
        <v>143</v>
      </c>
      <c r="E1374" s="168">
        <v>14</v>
      </c>
    </row>
    <row r="1375" spans="1:5" ht="12.75">
      <c r="A1375" s="167" t="s">
        <v>1321</v>
      </c>
      <c r="B1375" s="168">
        <v>314</v>
      </c>
      <c r="C1375" s="167" t="s">
        <v>1282</v>
      </c>
      <c r="D1375" s="168">
        <v>92</v>
      </c>
      <c r="E1375" s="168" t="s">
        <v>1083</v>
      </c>
    </row>
    <row r="1376" spans="1:5" ht="12.75">
      <c r="A1376" s="167" t="s">
        <v>1322</v>
      </c>
      <c r="B1376" s="168">
        <v>314</v>
      </c>
      <c r="C1376" s="167" t="s">
        <v>1282</v>
      </c>
      <c r="D1376" s="168">
        <v>28</v>
      </c>
      <c r="E1376" s="168" t="s">
        <v>1083</v>
      </c>
    </row>
    <row r="1377" spans="1:5" ht="12.75">
      <c r="A1377" s="167" t="s">
        <v>1323</v>
      </c>
      <c r="B1377" s="168">
        <v>314</v>
      </c>
      <c r="C1377" s="167" t="s">
        <v>1282</v>
      </c>
      <c r="D1377" s="168">
        <v>144</v>
      </c>
      <c r="E1377" s="168" t="s">
        <v>1083</v>
      </c>
    </row>
    <row r="1378" spans="1:5" ht="12.75">
      <c r="A1378" s="167" t="s">
        <v>1324</v>
      </c>
      <c r="B1378" s="168">
        <v>340</v>
      </c>
      <c r="C1378" s="167" t="s">
        <v>1325</v>
      </c>
      <c r="D1378" s="168">
        <v>87</v>
      </c>
      <c r="E1378" s="168" t="s">
        <v>1083</v>
      </c>
    </row>
    <row r="1379" spans="1:5" ht="12.75">
      <c r="A1379" s="167" t="s">
        <v>1326</v>
      </c>
      <c r="B1379" s="168">
        <v>340</v>
      </c>
      <c r="C1379" s="167" t="s">
        <v>1325</v>
      </c>
      <c r="D1379" s="168">
        <v>122</v>
      </c>
      <c r="E1379" s="168" t="s">
        <v>1083</v>
      </c>
    </row>
    <row r="1380" spans="1:5" ht="12.75">
      <c r="A1380" s="167" t="s">
        <v>1327</v>
      </c>
      <c r="B1380" s="168">
        <v>340</v>
      </c>
      <c r="C1380" s="167" t="s">
        <v>1325</v>
      </c>
      <c r="D1380" s="168">
        <v>156</v>
      </c>
      <c r="E1380" s="168">
        <v>19</v>
      </c>
    </row>
    <row r="1381" spans="1:5" ht="12.75">
      <c r="A1381" s="167" t="s">
        <v>1328</v>
      </c>
      <c r="B1381" s="168">
        <v>340</v>
      </c>
      <c r="C1381" s="167" t="s">
        <v>1325</v>
      </c>
      <c r="D1381" s="168">
        <v>151</v>
      </c>
      <c r="E1381" s="168" t="s">
        <v>1083</v>
      </c>
    </row>
    <row r="1382" spans="1:5" ht="12.75">
      <c r="A1382" s="167" t="s">
        <v>1329</v>
      </c>
      <c r="B1382" s="168">
        <v>340</v>
      </c>
      <c r="C1382" s="167" t="s">
        <v>1325</v>
      </c>
      <c r="D1382" s="168">
        <v>54</v>
      </c>
      <c r="E1382" s="168">
        <v>13</v>
      </c>
    </row>
    <row r="1383" spans="1:5" ht="12.75">
      <c r="A1383" s="167" t="s">
        <v>1330</v>
      </c>
      <c r="B1383" s="168">
        <v>340</v>
      </c>
      <c r="C1383" s="167" t="s">
        <v>1325</v>
      </c>
      <c r="D1383" s="168">
        <v>91</v>
      </c>
      <c r="E1383" s="168">
        <v>18</v>
      </c>
    </row>
    <row r="1384" spans="1:5" ht="12.75">
      <c r="A1384" s="167" t="s">
        <v>1331</v>
      </c>
      <c r="B1384" s="168">
        <v>340</v>
      </c>
      <c r="C1384" s="167" t="s">
        <v>1325</v>
      </c>
      <c r="D1384" s="168">
        <v>153</v>
      </c>
      <c r="E1384" s="168" t="s">
        <v>1083</v>
      </c>
    </row>
    <row r="1385" spans="1:5" ht="12.75">
      <c r="A1385" s="167" t="s">
        <v>1332</v>
      </c>
      <c r="B1385" s="168">
        <v>340</v>
      </c>
      <c r="C1385" s="167" t="s">
        <v>1325</v>
      </c>
      <c r="D1385" s="168">
        <v>92</v>
      </c>
      <c r="E1385" s="168">
        <v>1</v>
      </c>
    </row>
    <row r="1386" spans="1:5" ht="12.75">
      <c r="A1386" s="167" t="s">
        <v>1333</v>
      </c>
      <c r="B1386" s="168">
        <v>340</v>
      </c>
      <c r="C1386" s="167" t="s">
        <v>1325</v>
      </c>
      <c r="D1386" s="168">
        <v>159</v>
      </c>
      <c r="E1386" s="168">
        <v>21</v>
      </c>
    </row>
    <row r="1387" spans="1:5" ht="12.75">
      <c r="A1387" s="167" t="s">
        <v>1334</v>
      </c>
      <c r="B1387" s="168">
        <v>340</v>
      </c>
      <c r="C1387" s="167" t="s">
        <v>1325</v>
      </c>
      <c r="D1387" s="168">
        <v>136</v>
      </c>
      <c r="E1387" s="168">
        <v>6</v>
      </c>
    </row>
    <row r="1388" spans="1:5" ht="12.75">
      <c r="A1388" s="167" t="s">
        <v>1335</v>
      </c>
      <c r="B1388" s="168">
        <v>340</v>
      </c>
      <c r="C1388" s="167" t="s">
        <v>1325</v>
      </c>
      <c r="D1388" s="168">
        <v>124</v>
      </c>
      <c r="E1388" s="168">
        <v>24</v>
      </c>
    </row>
    <row r="1389" spans="1:5" ht="12.75">
      <c r="A1389" s="167" t="s">
        <v>1336</v>
      </c>
      <c r="B1389" s="168">
        <v>340</v>
      </c>
      <c r="C1389" s="167" t="s">
        <v>1325</v>
      </c>
      <c r="D1389" s="168">
        <v>143</v>
      </c>
      <c r="E1389" s="168">
        <v>11</v>
      </c>
    </row>
    <row r="1390" spans="1:5" ht="12.75">
      <c r="A1390" s="167" t="s">
        <v>1337</v>
      </c>
      <c r="B1390" s="168">
        <v>340</v>
      </c>
      <c r="C1390" s="167" t="s">
        <v>1325</v>
      </c>
      <c r="D1390" s="168">
        <v>152</v>
      </c>
      <c r="E1390" s="168" t="s">
        <v>1083</v>
      </c>
    </row>
    <row r="1391" spans="1:5" ht="12.75">
      <c r="A1391" s="167" t="s">
        <v>1338</v>
      </c>
      <c r="B1391" s="168">
        <v>340</v>
      </c>
      <c r="C1391" s="167" t="s">
        <v>1325</v>
      </c>
      <c r="D1391" s="168">
        <v>102</v>
      </c>
      <c r="E1391" s="168">
        <v>20</v>
      </c>
    </row>
    <row r="1392" spans="1:5" ht="12.75">
      <c r="A1392" s="167" t="s">
        <v>1339</v>
      </c>
      <c r="B1392" s="168">
        <v>340</v>
      </c>
      <c r="C1392" s="167" t="s">
        <v>1325</v>
      </c>
      <c r="D1392" s="168">
        <v>157</v>
      </c>
      <c r="E1392" s="168">
        <v>25</v>
      </c>
    </row>
    <row r="1393" spans="1:5" ht="12.75">
      <c r="A1393" s="167" t="s">
        <v>1340</v>
      </c>
      <c r="B1393" s="168">
        <v>340</v>
      </c>
      <c r="C1393" s="167" t="s">
        <v>1325</v>
      </c>
      <c r="D1393" s="168">
        <v>103</v>
      </c>
      <c r="E1393" s="168" t="s">
        <v>1083</v>
      </c>
    </row>
    <row r="1394" spans="1:5" ht="12.75">
      <c r="A1394" s="167" t="s">
        <v>1341</v>
      </c>
      <c r="B1394" s="168">
        <v>340</v>
      </c>
      <c r="C1394" s="167" t="s">
        <v>1325</v>
      </c>
      <c r="D1394" s="168">
        <v>112</v>
      </c>
      <c r="E1394" s="168" t="s">
        <v>1083</v>
      </c>
    </row>
    <row r="1395" spans="1:5" ht="12.75">
      <c r="A1395" s="167" t="s">
        <v>1342</v>
      </c>
      <c r="B1395" s="168">
        <v>340</v>
      </c>
      <c r="C1395" s="167" t="s">
        <v>1325</v>
      </c>
      <c r="D1395" s="168">
        <v>88</v>
      </c>
      <c r="E1395" s="168" t="s">
        <v>1083</v>
      </c>
    </row>
    <row r="1396" spans="1:5" ht="12.75">
      <c r="A1396" s="167" t="s">
        <v>1343</v>
      </c>
      <c r="B1396" s="168">
        <v>340</v>
      </c>
      <c r="C1396" s="167" t="s">
        <v>1325</v>
      </c>
      <c r="D1396" s="168">
        <v>144</v>
      </c>
      <c r="E1396" s="168" t="s">
        <v>1083</v>
      </c>
    </row>
    <row r="1397" spans="1:5" ht="12.75">
      <c r="A1397" s="167" t="s">
        <v>1344</v>
      </c>
      <c r="B1397" s="168">
        <v>340</v>
      </c>
      <c r="C1397" s="167" t="s">
        <v>1325</v>
      </c>
      <c r="D1397" s="168">
        <v>60</v>
      </c>
      <c r="E1397" s="168">
        <v>23</v>
      </c>
    </row>
    <row r="1398" spans="1:5" ht="12.75">
      <c r="A1398" s="167" t="s">
        <v>1345</v>
      </c>
      <c r="B1398" s="168">
        <v>340</v>
      </c>
      <c r="C1398" s="167" t="s">
        <v>1325</v>
      </c>
      <c r="D1398" s="168">
        <v>118</v>
      </c>
      <c r="E1398" s="168">
        <v>7</v>
      </c>
    </row>
    <row r="1399" spans="1:5" ht="12.75">
      <c r="A1399" s="167" t="s">
        <v>1346</v>
      </c>
      <c r="B1399" s="168">
        <v>340</v>
      </c>
      <c r="C1399" s="167" t="s">
        <v>1325</v>
      </c>
      <c r="D1399" s="168">
        <v>145</v>
      </c>
      <c r="E1399" s="168">
        <v>26</v>
      </c>
    </row>
    <row r="1400" spans="1:5" ht="12.75">
      <c r="A1400" s="167" t="s">
        <v>1347</v>
      </c>
      <c r="B1400" s="168">
        <v>340</v>
      </c>
      <c r="C1400" s="167" t="s">
        <v>1325</v>
      </c>
      <c r="D1400" s="168">
        <v>155</v>
      </c>
      <c r="E1400" s="168">
        <v>27</v>
      </c>
    </row>
    <row r="1401" spans="1:5" ht="12.75">
      <c r="A1401" s="167" t="s">
        <v>1348</v>
      </c>
      <c r="B1401" s="168">
        <v>340</v>
      </c>
      <c r="C1401" s="167" t="s">
        <v>1325</v>
      </c>
      <c r="D1401" s="168">
        <v>80</v>
      </c>
      <c r="E1401" s="168">
        <v>17</v>
      </c>
    </row>
    <row r="1402" spans="1:5" ht="12.75">
      <c r="A1402" s="167" t="s">
        <v>1349</v>
      </c>
      <c r="B1402" s="168">
        <v>340</v>
      </c>
      <c r="C1402" s="167" t="s">
        <v>1325</v>
      </c>
      <c r="D1402" s="168">
        <v>28</v>
      </c>
      <c r="E1402" s="168">
        <v>28</v>
      </c>
    </row>
    <row r="1403" spans="1:5" ht="12.75">
      <c r="A1403" s="167" t="s">
        <v>1350</v>
      </c>
      <c r="B1403" s="168">
        <v>340</v>
      </c>
      <c r="C1403" s="167" t="s">
        <v>1325</v>
      </c>
      <c r="D1403" s="168">
        <v>64</v>
      </c>
      <c r="E1403" s="168">
        <v>3</v>
      </c>
    </row>
    <row r="1404" spans="1:5" ht="12.75">
      <c r="A1404" s="167" t="s">
        <v>1351</v>
      </c>
      <c r="B1404" s="168">
        <v>340</v>
      </c>
      <c r="C1404" s="167" t="s">
        <v>1325</v>
      </c>
      <c r="D1404" s="168">
        <v>111</v>
      </c>
      <c r="E1404" s="168" t="s">
        <v>1083</v>
      </c>
    </row>
    <row r="1405" spans="1:5" ht="12.75">
      <c r="A1405" s="167" t="s">
        <v>1223</v>
      </c>
      <c r="B1405" s="168">
        <v>340</v>
      </c>
      <c r="C1405" s="167" t="s">
        <v>1325</v>
      </c>
      <c r="D1405" s="168">
        <v>160</v>
      </c>
      <c r="E1405" s="168">
        <v>8</v>
      </c>
    </row>
    <row r="1406" spans="1:5" ht="12.75">
      <c r="A1406" s="167" t="s">
        <v>1352</v>
      </c>
      <c r="B1406" s="168">
        <v>340</v>
      </c>
      <c r="C1406" s="167" t="s">
        <v>1325</v>
      </c>
      <c r="D1406" s="168">
        <v>14</v>
      </c>
      <c r="E1406" s="168">
        <v>14</v>
      </c>
    </row>
    <row r="1407" spans="1:5" ht="12.75">
      <c r="A1407" s="167" t="s">
        <v>1353</v>
      </c>
      <c r="B1407" s="168">
        <v>340</v>
      </c>
      <c r="C1407" s="167" t="s">
        <v>1325</v>
      </c>
      <c r="D1407" s="168">
        <v>138</v>
      </c>
      <c r="E1407" s="168">
        <v>2</v>
      </c>
    </row>
    <row r="1408" spans="1:5" ht="12.75">
      <c r="A1408" s="167" t="s">
        <v>1354</v>
      </c>
      <c r="B1408" s="168">
        <v>340</v>
      </c>
      <c r="C1408" s="167" t="s">
        <v>1325</v>
      </c>
      <c r="D1408" s="168">
        <v>121</v>
      </c>
      <c r="E1408" s="168" t="s">
        <v>1083</v>
      </c>
    </row>
    <row r="1409" spans="1:5" ht="12.75">
      <c r="A1409" s="167" t="s">
        <v>1355</v>
      </c>
      <c r="B1409" s="168">
        <v>340</v>
      </c>
      <c r="C1409" s="167" t="s">
        <v>1325</v>
      </c>
      <c r="D1409" s="168">
        <v>76</v>
      </c>
      <c r="E1409" s="168">
        <v>16</v>
      </c>
    </row>
    <row r="1410" spans="1:5" ht="12.75">
      <c r="A1410" s="167" t="s">
        <v>1356</v>
      </c>
      <c r="B1410" s="168">
        <v>340</v>
      </c>
      <c r="C1410" s="167" t="s">
        <v>1325</v>
      </c>
      <c r="D1410" s="168">
        <v>146</v>
      </c>
      <c r="E1410" s="168" t="s">
        <v>1083</v>
      </c>
    </row>
    <row r="1411" spans="1:5" ht="12.75">
      <c r="A1411" s="167" t="s">
        <v>1357</v>
      </c>
      <c r="B1411" s="168">
        <v>340</v>
      </c>
      <c r="C1411" s="167" t="s">
        <v>1325</v>
      </c>
      <c r="D1411" s="168">
        <v>117</v>
      </c>
      <c r="E1411" s="168" t="s">
        <v>1083</v>
      </c>
    </row>
    <row r="1412" spans="1:5" ht="12.75">
      <c r="A1412" s="167" t="s">
        <v>1358</v>
      </c>
      <c r="B1412" s="168">
        <v>340</v>
      </c>
      <c r="C1412" s="167" t="s">
        <v>1325</v>
      </c>
      <c r="D1412" s="168">
        <v>57</v>
      </c>
      <c r="E1412" s="168">
        <v>15</v>
      </c>
    </row>
    <row r="1413" spans="1:5" ht="12.75">
      <c r="A1413" s="167" t="s">
        <v>1359</v>
      </c>
      <c r="B1413" s="168">
        <v>340</v>
      </c>
      <c r="C1413" s="167" t="s">
        <v>1325</v>
      </c>
      <c r="D1413" s="168">
        <v>135</v>
      </c>
      <c r="E1413" s="168">
        <v>22</v>
      </c>
    </row>
    <row r="1414" spans="1:5" ht="12.75">
      <c r="A1414" s="167" t="s">
        <v>1360</v>
      </c>
      <c r="B1414" s="168">
        <v>340</v>
      </c>
      <c r="C1414" s="167" t="s">
        <v>1325</v>
      </c>
      <c r="D1414" s="168">
        <v>158</v>
      </c>
      <c r="E1414" s="168">
        <v>29</v>
      </c>
    </row>
    <row r="1415" spans="1:5" ht="12.75">
      <c r="A1415" s="167" t="s">
        <v>1361</v>
      </c>
      <c r="B1415" s="168">
        <v>340</v>
      </c>
      <c r="C1415" s="167" t="s">
        <v>1325</v>
      </c>
      <c r="D1415" s="168">
        <v>86</v>
      </c>
      <c r="E1415" s="168" t="s">
        <v>1083</v>
      </c>
    </row>
    <row r="1416" spans="1:5" ht="12.75">
      <c r="A1416" s="167" t="s">
        <v>1362</v>
      </c>
      <c r="B1416" s="168">
        <v>340</v>
      </c>
      <c r="C1416" s="167" t="s">
        <v>1325</v>
      </c>
      <c r="D1416" s="168">
        <v>147</v>
      </c>
      <c r="E1416" s="168" t="s">
        <v>1083</v>
      </c>
    </row>
    <row r="1417" spans="1:5" ht="12.75">
      <c r="A1417" s="167" t="s">
        <v>1363</v>
      </c>
      <c r="B1417" s="168">
        <v>340</v>
      </c>
      <c r="C1417" s="167" t="s">
        <v>1325</v>
      </c>
      <c r="D1417" s="168">
        <v>90</v>
      </c>
      <c r="E1417" s="168">
        <v>4</v>
      </c>
    </row>
    <row r="1418" spans="1:5" ht="12.75">
      <c r="A1418" s="167" t="s">
        <v>1364</v>
      </c>
      <c r="B1418" s="168">
        <v>340</v>
      </c>
      <c r="C1418" s="167" t="s">
        <v>1325</v>
      </c>
      <c r="D1418" s="168">
        <v>140</v>
      </c>
      <c r="E1418" s="168">
        <v>5</v>
      </c>
    </row>
    <row r="1419" spans="1:5" ht="12.75">
      <c r="A1419" s="167" t="s">
        <v>1242</v>
      </c>
      <c r="B1419" s="168">
        <v>340</v>
      </c>
      <c r="C1419" s="167" t="s">
        <v>1325</v>
      </c>
      <c r="D1419" s="168">
        <v>141</v>
      </c>
      <c r="E1419" s="168">
        <v>10</v>
      </c>
    </row>
    <row r="1420" spans="1:5" ht="12.75">
      <c r="A1420" s="167" t="s">
        <v>1365</v>
      </c>
      <c r="B1420" s="168">
        <v>340</v>
      </c>
      <c r="C1420" s="167" t="s">
        <v>1325</v>
      </c>
      <c r="D1420" s="168">
        <v>154</v>
      </c>
      <c r="E1420" s="168">
        <v>12</v>
      </c>
    </row>
    <row r="1421" spans="1:5" ht="12.75">
      <c r="A1421" s="167" t="s">
        <v>1366</v>
      </c>
      <c r="B1421" s="168">
        <v>340</v>
      </c>
      <c r="C1421" s="167" t="s">
        <v>1325</v>
      </c>
      <c r="D1421" s="168">
        <v>128</v>
      </c>
      <c r="E1421" s="168">
        <v>9</v>
      </c>
    </row>
    <row r="1422" spans="1:5" ht="12.75">
      <c r="A1422" s="167" t="s">
        <v>1367</v>
      </c>
      <c r="B1422" s="168">
        <v>341</v>
      </c>
      <c r="C1422" s="167" t="s">
        <v>1368</v>
      </c>
      <c r="D1422" s="168">
        <v>71</v>
      </c>
      <c r="E1422" s="168">
        <v>6</v>
      </c>
    </row>
    <row r="1423" spans="1:5" ht="12.75">
      <c r="A1423" s="167" t="s">
        <v>1369</v>
      </c>
      <c r="B1423" s="168">
        <v>341</v>
      </c>
      <c r="C1423" s="167" t="s">
        <v>1368</v>
      </c>
      <c r="D1423" s="168">
        <v>216</v>
      </c>
      <c r="E1423" s="168" t="s">
        <v>1083</v>
      </c>
    </row>
    <row r="1424" spans="1:5" ht="12.75">
      <c r="A1424" s="167" t="s">
        <v>1370</v>
      </c>
      <c r="B1424" s="168">
        <v>341</v>
      </c>
      <c r="C1424" s="167" t="s">
        <v>1368</v>
      </c>
      <c r="D1424" s="168">
        <v>205</v>
      </c>
      <c r="E1424" s="168" t="s">
        <v>1083</v>
      </c>
    </row>
    <row r="1425" spans="1:5" ht="12.75">
      <c r="A1425" s="167" t="s">
        <v>1371</v>
      </c>
      <c r="B1425" s="168">
        <v>341</v>
      </c>
      <c r="C1425" s="167" t="s">
        <v>1368</v>
      </c>
      <c r="D1425" s="168">
        <v>20</v>
      </c>
      <c r="E1425" s="168">
        <v>17</v>
      </c>
    </row>
    <row r="1426" spans="1:5" ht="12.75">
      <c r="A1426" s="167" t="s">
        <v>1372</v>
      </c>
      <c r="B1426" s="168">
        <v>341</v>
      </c>
      <c r="C1426" s="167" t="s">
        <v>1368</v>
      </c>
      <c r="D1426" s="168">
        <v>160</v>
      </c>
      <c r="E1426" s="168">
        <v>1</v>
      </c>
    </row>
    <row r="1427" spans="1:5" ht="12.75">
      <c r="A1427" s="167" t="s">
        <v>1373</v>
      </c>
      <c r="B1427" s="168">
        <v>341</v>
      </c>
      <c r="C1427" s="167" t="s">
        <v>1368</v>
      </c>
      <c r="D1427" s="168">
        <v>203</v>
      </c>
      <c r="E1427" s="168">
        <v>2</v>
      </c>
    </row>
    <row r="1428" spans="1:5" ht="12.75">
      <c r="A1428" s="167" t="s">
        <v>1374</v>
      </c>
      <c r="B1428" s="168">
        <v>341</v>
      </c>
      <c r="C1428" s="167" t="s">
        <v>1368</v>
      </c>
      <c r="D1428" s="168">
        <v>200</v>
      </c>
      <c r="E1428" s="168">
        <v>21</v>
      </c>
    </row>
    <row r="1429" spans="1:5" ht="12.75">
      <c r="A1429" s="167" t="s">
        <v>1375</v>
      </c>
      <c r="B1429" s="168">
        <v>341</v>
      </c>
      <c r="C1429" s="167" t="s">
        <v>1368</v>
      </c>
      <c r="D1429" s="168">
        <v>161</v>
      </c>
      <c r="E1429" s="168">
        <v>12</v>
      </c>
    </row>
    <row r="1430" spans="1:5" ht="12.75">
      <c r="A1430" s="167" t="s">
        <v>1376</v>
      </c>
      <c r="B1430" s="168">
        <v>341</v>
      </c>
      <c r="C1430" s="167" t="s">
        <v>1368</v>
      </c>
      <c r="D1430" s="168">
        <v>224</v>
      </c>
      <c r="E1430" s="168" t="s">
        <v>1083</v>
      </c>
    </row>
    <row r="1431" spans="1:5" ht="12.75">
      <c r="A1431" s="167" t="s">
        <v>1377</v>
      </c>
      <c r="B1431" s="168">
        <v>341</v>
      </c>
      <c r="C1431" s="167" t="s">
        <v>1368</v>
      </c>
      <c r="D1431" s="168">
        <v>28</v>
      </c>
      <c r="E1431" s="168" t="s">
        <v>1083</v>
      </c>
    </row>
    <row r="1432" spans="1:5" ht="12.75">
      <c r="A1432" s="167" t="s">
        <v>1378</v>
      </c>
      <c r="B1432" s="168">
        <v>341</v>
      </c>
      <c r="C1432" s="167" t="s">
        <v>1368</v>
      </c>
      <c r="D1432" s="168">
        <v>167</v>
      </c>
      <c r="E1432" s="168">
        <v>16</v>
      </c>
    </row>
    <row r="1433" spans="1:5" ht="12.75">
      <c r="A1433" s="167" t="s">
        <v>577</v>
      </c>
      <c r="B1433" s="168">
        <v>341</v>
      </c>
      <c r="C1433" s="167" t="s">
        <v>1368</v>
      </c>
      <c r="D1433" s="168">
        <v>4</v>
      </c>
      <c r="E1433" s="168" t="s">
        <v>1083</v>
      </c>
    </row>
    <row r="1434" spans="1:5" ht="12.75">
      <c r="A1434" s="167" t="s">
        <v>1379</v>
      </c>
      <c r="B1434" s="168">
        <v>341</v>
      </c>
      <c r="C1434" s="167" t="s">
        <v>1368</v>
      </c>
      <c r="D1434" s="168">
        <v>218</v>
      </c>
      <c r="E1434" s="168">
        <v>11</v>
      </c>
    </row>
    <row r="1435" spans="1:5" ht="12.75">
      <c r="A1435" s="167" t="s">
        <v>1380</v>
      </c>
      <c r="B1435" s="168">
        <v>341</v>
      </c>
      <c r="C1435" s="167" t="s">
        <v>1368</v>
      </c>
      <c r="D1435" s="168">
        <v>57</v>
      </c>
      <c r="E1435" s="168">
        <v>7</v>
      </c>
    </row>
    <row r="1436" spans="1:5" ht="12.75">
      <c r="A1436" s="167" t="s">
        <v>1381</v>
      </c>
      <c r="B1436" s="168">
        <v>341</v>
      </c>
      <c r="C1436" s="167" t="s">
        <v>1368</v>
      </c>
      <c r="D1436" s="168">
        <v>184</v>
      </c>
      <c r="E1436" s="168">
        <v>10</v>
      </c>
    </row>
    <row r="1437" spans="1:5" ht="12.75">
      <c r="A1437" s="167" t="s">
        <v>1382</v>
      </c>
      <c r="B1437" s="168">
        <v>341</v>
      </c>
      <c r="C1437" s="167" t="s">
        <v>1368</v>
      </c>
      <c r="D1437" s="168">
        <v>217</v>
      </c>
      <c r="E1437" s="168">
        <v>20</v>
      </c>
    </row>
    <row r="1438" spans="1:5" ht="12.75">
      <c r="A1438" s="167" t="s">
        <v>1383</v>
      </c>
      <c r="B1438" s="168">
        <v>341</v>
      </c>
      <c r="C1438" s="167" t="s">
        <v>1368</v>
      </c>
      <c r="D1438" s="168">
        <v>201</v>
      </c>
      <c r="E1438" s="168" t="s">
        <v>1083</v>
      </c>
    </row>
    <row r="1439" spans="1:5" ht="12.75">
      <c r="A1439" s="167" t="s">
        <v>1343</v>
      </c>
      <c r="B1439" s="168">
        <v>341</v>
      </c>
      <c r="C1439" s="167" t="s">
        <v>1368</v>
      </c>
      <c r="D1439" s="168">
        <v>95</v>
      </c>
      <c r="E1439" s="168">
        <v>3</v>
      </c>
    </row>
    <row r="1440" spans="1:5" ht="12.75">
      <c r="A1440" s="167" t="s">
        <v>1384</v>
      </c>
      <c r="B1440" s="168">
        <v>341</v>
      </c>
      <c r="C1440" s="167" t="s">
        <v>1368</v>
      </c>
      <c r="D1440" s="168">
        <v>169</v>
      </c>
      <c r="E1440" s="168">
        <v>13</v>
      </c>
    </row>
    <row r="1441" spans="1:5" ht="12.75">
      <c r="A1441" s="167" t="s">
        <v>1385</v>
      </c>
      <c r="B1441" s="168">
        <v>341</v>
      </c>
      <c r="C1441" s="167" t="s">
        <v>1368</v>
      </c>
      <c r="D1441" s="168">
        <v>115</v>
      </c>
      <c r="E1441" s="168">
        <v>8</v>
      </c>
    </row>
    <row r="1442" spans="1:5" ht="12.75">
      <c r="A1442" s="167" t="s">
        <v>1386</v>
      </c>
      <c r="B1442" s="168">
        <v>341</v>
      </c>
      <c r="C1442" s="167" t="s">
        <v>1368</v>
      </c>
      <c r="D1442" s="168">
        <v>73</v>
      </c>
      <c r="E1442" s="168" t="s">
        <v>1083</v>
      </c>
    </row>
    <row r="1443" spans="1:5" ht="12.75">
      <c r="A1443" s="167" t="s">
        <v>1387</v>
      </c>
      <c r="B1443" s="168">
        <v>341</v>
      </c>
      <c r="C1443" s="167" t="s">
        <v>1368</v>
      </c>
      <c r="D1443" s="168">
        <v>215</v>
      </c>
      <c r="E1443" s="168" t="s">
        <v>1083</v>
      </c>
    </row>
    <row r="1444" spans="1:5" ht="12.75">
      <c r="A1444" s="167" t="s">
        <v>1388</v>
      </c>
      <c r="B1444" s="168">
        <v>341</v>
      </c>
      <c r="C1444" s="167" t="s">
        <v>1368</v>
      </c>
      <c r="D1444" s="168">
        <v>78</v>
      </c>
      <c r="E1444" s="168" t="s">
        <v>1083</v>
      </c>
    </row>
    <row r="1445" spans="1:5" ht="12.75">
      <c r="A1445" s="167" t="s">
        <v>1389</v>
      </c>
      <c r="B1445" s="168">
        <v>341</v>
      </c>
      <c r="C1445" s="167" t="s">
        <v>1368</v>
      </c>
      <c r="D1445" s="168">
        <v>221</v>
      </c>
      <c r="E1445" s="168" t="s">
        <v>1083</v>
      </c>
    </row>
    <row r="1446" spans="1:5" ht="12.75">
      <c r="A1446" s="167" t="s">
        <v>1390</v>
      </c>
      <c r="B1446" s="168">
        <v>341</v>
      </c>
      <c r="C1446" s="167" t="s">
        <v>1368</v>
      </c>
      <c r="D1446" s="168">
        <v>213</v>
      </c>
      <c r="E1446" s="168" t="s">
        <v>1083</v>
      </c>
    </row>
    <row r="1447" spans="1:5" ht="12.75">
      <c r="A1447" s="167" t="s">
        <v>1391</v>
      </c>
      <c r="B1447" s="168">
        <v>341</v>
      </c>
      <c r="C1447" s="167" t="s">
        <v>1368</v>
      </c>
      <c r="D1447" s="168">
        <v>76</v>
      </c>
      <c r="E1447" s="168" t="s">
        <v>1083</v>
      </c>
    </row>
    <row r="1448" spans="1:5" ht="12.75">
      <c r="A1448" s="167" t="s">
        <v>1392</v>
      </c>
      <c r="B1448" s="168">
        <v>341</v>
      </c>
      <c r="C1448" s="167" t="s">
        <v>1368</v>
      </c>
      <c r="D1448" s="168">
        <v>58</v>
      </c>
      <c r="E1448" s="168">
        <v>15</v>
      </c>
    </row>
    <row r="1449" spans="1:5" ht="12.75">
      <c r="A1449" s="167" t="s">
        <v>1393</v>
      </c>
      <c r="B1449" s="168">
        <v>341</v>
      </c>
      <c r="C1449" s="167" t="s">
        <v>1368</v>
      </c>
      <c r="D1449" s="168">
        <v>190</v>
      </c>
      <c r="E1449" s="168">
        <v>9</v>
      </c>
    </row>
    <row r="1450" spans="1:5" ht="12.75">
      <c r="A1450" s="167" t="s">
        <v>1394</v>
      </c>
      <c r="B1450" s="168">
        <v>341</v>
      </c>
      <c r="C1450" s="167" t="s">
        <v>1368</v>
      </c>
      <c r="D1450" s="168">
        <v>191</v>
      </c>
      <c r="E1450" s="168">
        <v>14</v>
      </c>
    </row>
    <row r="1451" spans="1:5" ht="12.75">
      <c r="A1451" s="167" t="s">
        <v>1395</v>
      </c>
      <c r="B1451" s="168">
        <v>341</v>
      </c>
      <c r="C1451" s="167" t="s">
        <v>1368</v>
      </c>
      <c r="D1451" s="168">
        <v>3</v>
      </c>
      <c r="E1451" s="168" t="s">
        <v>1083</v>
      </c>
    </row>
    <row r="1452" spans="1:5" ht="12.75">
      <c r="A1452" s="167" t="s">
        <v>1396</v>
      </c>
      <c r="B1452" s="168">
        <v>341</v>
      </c>
      <c r="C1452" s="167" t="s">
        <v>1368</v>
      </c>
      <c r="D1452" s="168">
        <v>225</v>
      </c>
      <c r="E1452" s="168">
        <v>4</v>
      </c>
    </row>
    <row r="1453" spans="1:5" ht="12.75">
      <c r="A1453" s="167" t="s">
        <v>1397</v>
      </c>
      <c r="B1453" s="168">
        <v>341</v>
      </c>
      <c r="C1453" s="167" t="s">
        <v>1368</v>
      </c>
      <c r="D1453" s="168">
        <v>15</v>
      </c>
      <c r="E1453" s="168">
        <v>18</v>
      </c>
    </row>
    <row r="1454" spans="1:5" ht="12.75">
      <c r="A1454" s="167" t="s">
        <v>1398</v>
      </c>
      <c r="B1454" s="168">
        <v>341</v>
      </c>
      <c r="C1454" s="167" t="s">
        <v>1368</v>
      </c>
      <c r="D1454" s="168">
        <v>97</v>
      </c>
      <c r="E1454" s="168">
        <v>5</v>
      </c>
    </row>
    <row r="1455" spans="1:5" ht="12.75">
      <c r="A1455" s="167" t="s">
        <v>1399</v>
      </c>
      <c r="B1455" s="168">
        <v>341</v>
      </c>
      <c r="C1455" s="167" t="s">
        <v>1368</v>
      </c>
      <c r="D1455" s="168">
        <v>77</v>
      </c>
      <c r="E1455" s="168">
        <v>19</v>
      </c>
    </row>
    <row r="1456" spans="1:5" ht="12.75">
      <c r="A1456" s="167" t="s">
        <v>1400</v>
      </c>
      <c r="B1456" s="168">
        <v>348</v>
      </c>
      <c r="C1456" s="167" t="s">
        <v>1401</v>
      </c>
      <c r="D1456" s="168">
        <v>315</v>
      </c>
      <c r="E1456" s="168" t="s">
        <v>1083</v>
      </c>
    </row>
    <row r="1457" spans="1:5" ht="12.75">
      <c r="A1457" s="167" t="s">
        <v>1402</v>
      </c>
      <c r="B1457" s="168">
        <v>348</v>
      </c>
      <c r="C1457" s="167" t="s">
        <v>1401</v>
      </c>
      <c r="D1457" s="168">
        <v>308</v>
      </c>
      <c r="E1457" s="168">
        <v>13</v>
      </c>
    </row>
    <row r="1458" spans="1:5" ht="12.75">
      <c r="A1458" s="167" t="s">
        <v>1403</v>
      </c>
      <c r="B1458" s="168">
        <v>348</v>
      </c>
      <c r="C1458" s="167" t="s">
        <v>1401</v>
      </c>
      <c r="D1458" s="168">
        <v>54</v>
      </c>
      <c r="E1458" s="168" t="s">
        <v>1083</v>
      </c>
    </row>
    <row r="1459" spans="1:5" ht="12.75">
      <c r="A1459" s="167" t="s">
        <v>1404</v>
      </c>
      <c r="B1459" s="168">
        <v>348</v>
      </c>
      <c r="C1459" s="167" t="s">
        <v>1401</v>
      </c>
      <c r="D1459" s="168">
        <v>326</v>
      </c>
      <c r="E1459" s="168" t="s">
        <v>1083</v>
      </c>
    </row>
    <row r="1460" spans="1:5" ht="12.75">
      <c r="A1460" s="167" t="s">
        <v>1405</v>
      </c>
      <c r="B1460" s="168">
        <v>348</v>
      </c>
      <c r="C1460" s="167" t="s">
        <v>1401</v>
      </c>
      <c r="D1460" s="168">
        <v>291</v>
      </c>
      <c r="E1460" s="168">
        <v>11</v>
      </c>
    </row>
    <row r="1461" spans="1:5" ht="12.75">
      <c r="A1461" s="167" t="s">
        <v>1406</v>
      </c>
      <c r="B1461" s="168">
        <v>348</v>
      </c>
      <c r="C1461" s="167" t="s">
        <v>1401</v>
      </c>
      <c r="D1461" s="168">
        <v>123</v>
      </c>
      <c r="E1461" s="168" t="s">
        <v>1083</v>
      </c>
    </row>
    <row r="1462" spans="1:5" ht="12.75">
      <c r="A1462" s="167" t="s">
        <v>1407</v>
      </c>
      <c r="B1462" s="168">
        <v>348</v>
      </c>
      <c r="C1462" s="167" t="s">
        <v>1401</v>
      </c>
      <c r="D1462" s="168">
        <v>275</v>
      </c>
      <c r="E1462" s="168">
        <v>2</v>
      </c>
    </row>
    <row r="1463" spans="1:5" ht="12.75">
      <c r="A1463" s="167" t="s">
        <v>1408</v>
      </c>
      <c r="B1463" s="168">
        <v>348</v>
      </c>
      <c r="C1463" s="167" t="s">
        <v>1401</v>
      </c>
      <c r="D1463" s="168">
        <v>295</v>
      </c>
      <c r="E1463" s="168">
        <v>8</v>
      </c>
    </row>
    <row r="1464" spans="1:5" ht="12.75">
      <c r="A1464" s="167" t="s">
        <v>1409</v>
      </c>
      <c r="B1464" s="168">
        <v>348</v>
      </c>
      <c r="C1464" s="167" t="s">
        <v>1401</v>
      </c>
      <c r="D1464" s="168">
        <v>332</v>
      </c>
      <c r="E1464" s="168">
        <v>4</v>
      </c>
    </row>
    <row r="1465" spans="1:5" ht="12.75">
      <c r="A1465" s="167" t="s">
        <v>1410</v>
      </c>
      <c r="B1465" s="168">
        <v>348</v>
      </c>
      <c r="C1465" s="167" t="s">
        <v>1401</v>
      </c>
      <c r="D1465" s="168">
        <v>280</v>
      </c>
      <c r="E1465" s="168" t="s">
        <v>1083</v>
      </c>
    </row>
    <row r="1466" spans="1:5" ht="12.75">
      <c r="A1466" s="167" t="s">
        <v>1411</v>
      </c>
      <c r="B1466" s="168">
        <v>348</v>
      </c>
      <c r="C1466" s="167" t="s">
        <v>1401</v>
      </c>
      <c r="D1466" s="168">
        <v>244</v>
      </c>
      <c r="E1466" s="168" t="s">
        <v>1083</v>
      </c>
    </row>
    <row r="1467" spans="1:5" ht="12.75">
      <c r="A1467" s="167" t="s">
        <v>1412</v>
      </c>
      <c r="B1467" s="168">
        <v>348</v>
      </c>
      <c r="C1467" s="167" t="s">
        <v>1401</v>
      </c>
      <c r="D1467" s="168">
        <v>322</v>
      </c>
      <c r="E1467" s="168">
        <v>26</v>
      </c>
    </row>
    <row r="1468" spans="1:5" ht="12.75">
      <c r="A1468" s="167" t="s">
        <v>1413</v>
      </c>
      <c r="B1468" s="168">
        <v>348</v>
      </c>
      <c r="C1468" s="167" t="s">
        <v>1401</v>
      </c>
      <c r="D1468" s="168">
        <v>4</v>
      </c>
      <c r="E1468" s="168" t="s">
        <v>1083</v>
      </c>
    </row>
    <row r="1469" spans="1:5" ht="12.75">
      <c r="A1469" s="167" t="s">
        <v>1414</v>
      </c>
      <c r="B1469" s="168">
        <v>348</v>
      </c>
      <c r="C1469" s="167" t="s">
        <v>1401</v>
      </c>
      <c r="D1469" s="168">
        <v>323</v>
      </c>
      <c r="E1469" s="168">
        <v>23</v>
      </c>
    </row>
    <row r="1470" spans="1:5" ht="12.75">
      <c r="A1470" s="167" t="s">
        <v>1415</v>
      </c>
      <c r="B1470" s="168">
        <v>348</v>
      </c>
      <c r="C1470" s="167" t="s">
        <v>1401</v>
      </c>
      <c r="D1470" s="168">
        <v>301</v>
      </c>
      <c r="E1470" s="168" t="s">
        <v>1083</v>
      </c>
    </row>
    <row r="1471" spans="1:5" ht="12.75">
      <c r="A1471" s="167" t="s">
        <v>1416</v>
      </c>
      <c r="B1471" s="168">
        <v>348</v>
      </c>
      <c r="C1471" s="167" t="s">
        <v>1401</v>
      </c>
      <c r="D1471" s="168">
        <v>327</v>
      </c>
      <c r="E1471" s="168">
        <v>25</v>
      </c>
    </row>
    <row r="1472" spans="1:5" ht="12.75">
      <c r="A1472" s="167" t="s">
        <v>1417</v>
      </c>
      <c r="B1472" s="168">
        <v>348</v>
      </c>
      <c r="C1472" s="167" t="s">
        <v>1401</v>
      </c>
      <c r="D1472" s="168">
        <v>126</v>
      </c>
      <c r="E1472" s="168" t="s">
        <v>1083</v>
      </c>
    </row>
    <row r="1473" spans="1:5" ht="12.75">
      <c r="A1473" s="167" t="s">
        <v>1418</v>
      </c>
      <c r="B1473" s="168">
        <v>348</v>
      </c>
      <c r="C1473" s="167" t="s">
        <v>1401</v>
      </c>
      <c r="D1473" s="168">
        <v>125</v>
      </c>
      <c r="E1473" s="168" t="s">
        <v>1083</v>
      </c>
    </row>
    <row r="1474" spans="1:5" ht="12.75">
      <c r="A1474" s="167" t="s">
        <v>1419</v>
      </c>
      <c r="B1474" s="168">
        <v>348</v>
      </c>
      <c r="C1474" s="167" t="s">
        <v>1401</v>
      </c>
      <c r="D1474" s="168">
        <v>292</v>
      </c>
      <c r="E1474" s="168">
        <v>10</v>
      </c>
    </row>
    <row r="1475" spans="1:5" ht="12.75">
      <c r="A1475" s="167" t="s">
        <v>1420</v>
      </c>
      <c r="B1475" s="168">
        <v>348</v>
      </c>
      <c r="C1475" s="167" t="s">
        <v>1401</v>
      </c>
      <c r="D1475" s="168">
        <v>38</v>
      </c>
      <c r="E1475" s="168" t="s">
        <v>1083</v>
      </c>
    </row>
    <row r="1476" spans="1:5" ht="12.75">
      <c r="A1476" s="167" t="s">
        <v>1421</v>
      </c>
      <c r="B1476" s="168">
        <v>348</v>
      </c>
      <c r="C1476" s="167" t="s">
        <v>1401</v>
      </c>
      <c r="D1476" s="168">
        <v>318</v>
      </c>
      <c r="E1476" s="168" t="s">
        <v>1083</v>
      </c>
    </row>
    <row r="1477" spans="1:5" ht="12.75">
      <c r="A1477" s="167" t="s">
        <v>1422</v>
      </c>
      <c r="B1477" s="168">
        <v>348</v>
      </c>
      <c r="C1477" s="167" t="s">
        <v>1401</v>
      </c>
      <c r="D1477" s="168">
        <v>317</v>
      </c>
      <c r="E1477" s="168">
        <v>18</v>
      </c>
    </row>
    <row r="1478" spans="1:5" ht="12.75">
      <c r="A1478" s="167" t="s">
        <v>1423</v>
      </c>
      <c r="B1478" s="168">
        <v>348</v>
      </c>
      <c r="C1478" s="167" t="s">
        <v>1401</v>
      </c>
      <c r="D1478" s="168">
        <v>282</v>
      </c>
      <c r="E1478" s="168" t="s">
        <v>1083</v>
      </c>
    </row>
    <row r="1479" spans="1:5" ht="12.75">
      <c r="A1479" s="167" t="s">
        <v>1424</v>
      </c>
      <c r="B1479" s="168">
        <v>348</v>
      </c>
      <c r="C1479" s="167" t="s">
        <v>1401</v>
      </c>
      <c r="D1479" s="168">
        <v>298</v>
      </c>
      <c r="E1479" s="168">
        <v>20</v>
      </c>
    </row>
    <row r="1480" spans="1:5" ht="12.75">
      <c r="A1480" s="167" t="s">
        <v>1425</v>
      </c>
      <c r="B1480" s="168">
        <v>348</v>
      </c>
      <c r="C1480" s="167" t="s">
        <v>1401</v>
      </c>
      <c r="D1480" s="168">
        <v>324</v>
      </c>
      <c r="E1480" s="168" t="s">
        <v>1083</v>
      </c>
    </row>
    <row r="1481" spans="1:5" ht="12.75">
      <c r="A1481" s="167" t="s">
        <v>1426</v>
      </c>
      <c r="B1481" s="168">
        <v>348</v>
      </c>
      <c r="C1481" s="167" t="s">
        <v>1401</v>
      </c>
      <c r="D1481" s="168">
        <v>328</v>
      </c>
      <c r="E1481" s="168" t="s">
        <v>1083</v>
      </c>
    </row>
    <row r="1482" spans="1:5" ht="12.75">
      <c r="A1482" s="167" t="s">
        <v>1427</v>
      </c>
      <c r="B1482" s="168">
        <v>348</v>
      </c>
      <c r="C1482" s="167" t="s">
        <v>1401</v>
      </c>
      <c r="D1482" s="168">
        <v>307</v>
      </c>
      <c r="E1482" s="168">
        <v>21</v>
      </c>
    </row>
    <row r="1483" spans="1:5" ht="12.75">
      <c r="A1483" s="167" t="s">
        <v>1428</v>
      </c>
      <c r="B1483" s="168">
        <v>348</v>
      </c>
      <c r="C1483" s="167" t="s">
        <v>1401</v>
      </c>
      <c r="D1483" s="168">
        <v>31</v>
      </c>
      <c r="E1483" s="168" t="s">
        <v>1083</v>
      </c>
    </row>
    <row r="1484" spans="1:5" ht="12.75">
      <c r="A1484" s="167" t="s">
        <v>1429</v>
      </c>
      <c r="B1484" s="168">
        <v>348</v>
      </c>
      <c r="C1484" s="167" t="s">
        <v>1401</v>
      </c>
      <c r="D1484" s="168">
        <v>276</v>
      </c>
      <c r="E1484" s="168">
        <v>7</v>
      </c>
    </row>
    <row r="1485" spans="1:5" ht="12.75">
      <c r="A1485" s="167" t="s">
        <v>1430</v>
      </c>
      <c r="B1485" s="168">
        <v>348</v>
      </c>
      <c r="C1485" s="167" t="s">
        <v>1401</v>
      </c>
      <c r="D1485" s="168">
        <v>89</v>
      </c>
      <c r="E1485" s="168">
        <v>1</v>
      </c>
    </row>
    <row r="1486" spans="1:5" ht="12.75">
      <c r="A1486" s="167" t="s">
        <v>1431</v>
      </c>
      <c r="B1486" s="168">
        <v>348</v>
      </c>
      <c r="C1486" s="167" t="s">
        <v>1401</v>
      </c>
      <c r="D1486" s="168">
        <v>316</v>
      </c>
      <c r="E1486" s="168" t="s">
        <v>1083</v>
      </c>
    </row>
    <row r="1487" spans="1:5" ht="12.75">
      <c r="A1487" s="167" t="s">
        <v>1432</v>
      </c>
      <c r="B1487" s="168">
        <v>348</v>
      </c>
      <c r="C1487" s="167" t="s">
        <v>1401</v>
      </c>
      <c r="D1487" s="168">
        <v>270</v>
      </c>
      <c r="E1487" s="168">
        <v>3</v>
      </c>
    </row>
    <row r="1488" spans="1:5" ht="12.75">
      <c r="A1488" s="167" t="s">
        <v>1433</v>
      </c>
      <c r="B1488" s="168">
        <v>348</v>
      </c>
      <c r="C1488" s="167" t="s">
        <v>1401</v>
      </c>
      <c r="D1488" s="168">
        <v>329</v>
      </c>
      <c r="E1488" s="168" t="s">
        <v>1083</v>
      </c>
    </row>
    <row r="1489" spans="1:5" ht="12.75">
      <c r="A1489" s="167" t="s">
        <v>1434</v>
      </c>
      <c r="B1489" s="168">
        <v>348</v>
      </c>
      <c r="C1489" s="167" t="s">
        <v>1401</v>
      </c>
      <c r="D1489" s="168">
        <v>311</v>
      </c>
      <c r="E1489" s="168">
        <v>17</v>
      </c>
    </row>
    <row r="1490" spans="1:5" ht="12.75">
      <c r="A1490" s="167" t="s">
        <v>1435</v>
      </c>
      <c r="B1490" s="168">
        <v>348</v>
      </c>
      <c r="C1490" s="167" t="s">
        <v>1401</v>
      </c>
      <c r="D1490" s="168">
        <v>330</v>
      </c>
      <c r="E1490" s="168" t="s">
        <v>1083</v>
      </c>
    </row>
    <row r="1491" spans="1:5" ht="12.75">
      <c r="A1491" s="167" t="s">
        <v>1436</v>
      </c>
      <c r="B1491" s="168">
        <v>348</v>
      </c>
      <c r="C1491" s="167" t="s">
        <v>1401</v>
      </c>
      <c r="D1491" s="168">
        <v>299</v>
      </c>
      <c r="E1491" s="168">
        <v>22</v>
      </c>
    </row>
    <row r="1492" spans="1:5" ht="12.75">
      <c r="A1492" s="167" t="s">
        <v>1437</v>
      </c>
      <c r="B1492" s="168">
        <v>348</v>
      </c>
      <c r="C1492" s="167" t="s">
        <v>1401</v>
      </c>
      <c r="D1492" s="168">
        <v>312</v>
      </c>
      <c r="E1492" s="168" t="s">
        <v>1083</v>
      </c>
    </row>
    <row r="1493" spans="1:5" ht="12.75">
      <c r="A1493" s="167" t="s">
        <v>1438</v>
      </c>
      <c r="B1493" s="168">
        <v>348</v>
      </c>
      <c r="C1493" s="167" t="s">
        <v>1401</v>
      </c>
      <c r="D1493" s="168">
        <v>331</v>
      </c>
      <c r="E1493" s="168" t="s">
        <v>1083</v>
      </c>
    </row>
    <row r="1494" spans="1:5" ht="12.75">
      <c r="A1494" s="167" t="s">
        <v>1439</v>
      </c>
      <c r="B1494" s="168">
        <v>348</v>
      </c>
      <c r="C1494" s="167" t="s">
        <v>1401</v>
      </c>
      <c r="D1494" s="168">
        <v>303</v>
      </c>
      <c r="E1494" s="168">
        <v>15</v>
      </c>
    </row>
    <row r="1495" spans="1:5" ht="12.75">
      <c r="A1495" s="167" t="s">
        <v>1440</v>
      </c>
      <c r="B1495" s="168">
        <v>348</v>
      </c>
      <c r="C1495" s="167" t="s">
        <v>1401</v>
      </c>
      <c r="D1495" s="168">
        <v>302</v>
      </c>
      <c r="E1495" s="168">
        <v>19</v>
      </c>
    </row>
    <row r="1496" spans="1:5" ht="12.75">
      <c r="A1496" s="167" t="s">
        <v>1441</v>
      </c>
      <c r="B1496" s="168">
        <v>348</v>
      </c>
      <c r="C1496" s="167" t="s">
        <v>1401</v>
      </c>
      <c r="D1496" s="168">
        <v>319</v>
      </c>
      <c r="E1496" s="168" t="s">
        <v>1083</v>
      </c>
    </row>
    <row r="1497" spans="1:5" ht="12.75">
      <c r="A1497" s="167" t="s">
        <v>1442</v>
      </c>
      <c r="B1497" s="168">
        <v>348</v>
      </c>
      <c r="C1497" s="167" t="s">
        <v>1401</v>
      </c>
      <c r="D1497" s="168">
        <v>297</v>
      </c>
      <c r="E1497" s="168">
        <v>12</v>
      </c>
    </row>
    <row r="1498" spans="1:5" ht="12.75">
      <c r="A1498" s="167" t="s">
        <v>1443</v>
      </c>
      <c r="B1498" s="168">
        <v>348</v>
      </c>
      <c r="C1498" s="167" t="s">
        <v>1401</v>
      </c>
      <c r="D1498" s="168">
        <v>300</v>
      </c>
      <c r="E1498" s="168">
        <v>16</v>
      </c>
    </row>
    <row r="1499" spans="1:5" ht="12.75">
      <c r="A1499" s="167" t="s">
        <v>1444</v>
      </c>
      <c r="B1499" s="168">
        <v>348</v>
      </c>
      <c r="C1499" s="167" t="s">
        <v>1401</v>
      </c>
      <c r="D1499" s="168">
        <v>314</v>
      </c>
      <c r="E1499" s="168" t="s">
        <v>1083</v>
      </c>
    </row>
    <row r="1500" spans="1:5" ht="12.75">
      <c r="A1500" s="167" t="s">
        <v>1445</v>
      </c>
      <c r="B1500" s="168">
        <v>348</v>
      </c>
      <c r="C1500" s="167" t="s">
        <v>1401</v>
      </c>
      <c r="D1500" s="168">
        <v>44</v>
      </c>
      <c r="E1500" s="168" t="s">
        <v>1083</v>
      </c>
    </row>
    <row r="1501" spans="1:5" ht="12.75">
      <c r="A1501" s="167" t="s">
        <v>1446</v>
      </c>
      <c r="B1501" s="168">
        <v>348</v>
      </c>
      <c r="C1501" s="167" t="s">
        <v>1401</v>
      </c>
      <c r="D1501" s="168">
        <v>325</v>
      </c>
      <c r="E1501" s="168" t="s">
        <v>1083</v>
      </c>
    </row>
    <row r="1502" spans="1:5" ht="12.75">
      <c r="A1502" s="167" t="s">
        <v>1447</v>
      </c>
      <c r="B1502" s="168">
        <v>348</v>
      </c>
      <c r="C1502" s="167" t="s">
        <v>1401</v>
      </c>
      <c r="D1502" s="168">
        <v>217</v>
      </c>
      <c r="E1502" s="168" t="s">
        <v>1083</v>
      </c>
    </row>
    <row r="1503" spans="1:5" ht="12.75">
      <c r="A1503" s="167" t="s">
        <v>1448</v>
      </c>
      <c r="B1503" s="168">
        <v>348</v>
      </c>
      <c r="C1503" s="167" t="s">
        <v>1401</v>
      </c>
      <c r="D1503" s="168">
        <v>258</v>
      </c>
      <c r="E1503" s="168">
        <v>9</v>
      </c>
    </row>
    <row r="1504" spans="1:5" ht="12.75">
      <c r="A1504" s="167" t="s">
        <v>1449</v>
      </c>
      <c r="B1504" s="168">
        <v>348</v>
      </c>
      <c r="C1504" s="167" t="s">
        <v>1401</v>
      </c>
      <c r="D1504" s="168">
        <v>313</v>
      </c>
      <c r="E1504" s="168">
        <v>5</v>
      </c>
    </row>
    <row r="1505" spans="1:5" ht="12.75">
      <c r="A1505" s="167" t="s">
        <v>1450</v>
      </c>
      <c r="B1505" s="168">
        <v>348</v>
      </c>
      <c r="C1505" s="167" t="s">
        <v>1401</v>
      </c>
      <c r="D1505" s="168">
        <v>306</v>
      </c>
      <c r="E1505" s="168">
        <v>14</v>
      </c>
    </row>
    <row r="1506" spans="1:5" ht="12.75">
      <c r="A1506" s="167" t="s">
        <v>1396</v>
      </c>
      <c r="B1506" s="168">
        <v>348</v>
      </c>
      <c r="C1506" s="167" t="s">
        <v>1401</v>
      </c>
      <c r="D1506" s="168">
        <v>193</v>
      </c>
      <c r="E1506" s="168" t="s">
        <v>1083</v>
      </c>
    </row>
    <row r="1507" spans="1:5" ht="12.75">
      <c r="A1507" s="167" t="s">
        <v>1451</v>
      </c>
      <c r="B1507" s="168">
        <v>348</v>
      </c>
      <c r="C1507" s="167" t="s">
        <v>1401</v>
      </c>
      <c r="D1507" s="168">
        <v>320</v>
      </c>
      <c r="E1507" s="168" t="s">
        <v>1083</v>
      </c>
    </row>
    <row r="1508" spans="1:5" ht="12.75">
      <c r="A1508" s="167" t="s">
        <v>1452</v>
      </c>
      <c r="B1508" s="168">
        <v>348</v>
      </c>
      <c r="C1508" s="167" t="s">
        <v>1401</v>
      </c>
      <c r="D1508" s="168">
        <v>208</v>
      </c>
      <c r="E1508" s="168">
        <v>6</v>
      </c>
    </row>
    <row r="1509" spans="1:5" ht="12.75">
      <c r="A1509" s="167" t="s">
        <v>1453</v>
      </c>
      <c r="B1509" s="168">
        <v>348</v>
      </c>
      <c r="C1509" s="167" t="s">
        <v>1401</v>
      </c>
      <c r="D1509" s="168">
        <v>321</v>
      </c>
      <c r="E1509" s="168">
        <v>24</v>
      </c>
    </row>
    <row r="1510" spans="1:5" ht="12.75">
      <c r="A1510" s="167" t="s">
        <v>1454</v>
      </c>
      <c r="B1510" s="168">
        <v>373</v>
      </c>
      <c r="C1510" s="167" t="s">
        <v>1455</v>
      </c>
      <c r="D1510" s="168">
        <v>35</v>
      </c>
      <c r="E1510" s="168">
        <v>11</v>
      </c>
    </row>
    <row r="1511" spans="1:5" ht="12.75">
      <c r="A1511" s="167" t="s">
        <v>1456</v>
      </c>
      <c r="B1511" s="168">
        <v>373</v>
      </c>
      <c r="C1511" s="167" t="s">
        <v>1455</v>
      </c>
      <c r="D1511" s="168">
        <v>137</v>
      </c>
      <c r="E1511" s="168">
        <v>15</v>
      </c>
    </row>
    <row r="1512" spans="1:5" ht="12.75">
      <c r="A1512" s="167" t="s">
        <v>1457</v>
      </c>
      <c r="B1512" s="168">
        <v>373</v>
      </c>
      <c r="C1512" s="167" t="s">
        <v>1455</v>
      </c>
      <c r="D1512" s="168">
        <v>79</v>
      </c>
      <c r="E1512" s="168" t="s">
        <v>1083</v>
      </c>
    </row>
    <row r="1513" spans="1:5" ht="12.75">
      <c r="A1513" s="167" t="s">
        <v>1329</v>
      </c>
      <c r="B1513" s="168">
        <v>373</v>
      </c>
      <c r="C1513" s="167" t="s">
        <v>1455</v>
      </c>
      <c r="D1513" s="168">
        <v>155</v>
      </c>
      <c r="E1513" s="168" t="s">
        <v>1083</v>
      </c>
    </row>
    <row r="1514" spans="1:5" ht="12.75">
      <c r="A1514" s="167" t="s">
        <v>1458</v>
      </c>
      <c r="B1514" s="168">
        <v>373</v>
      </c>
      <c r="C1514" s="167" t="s">
        <v>1455</v>
      </c>
      <c r="D1514" s="168">
        <v>118</v>
      </c>
      <c r="E1514" s="168">
        <v>16</v>
      </c>
    </row>
    <row r="1515" spans="1:5" ht="12.75">
      <c r="A1515" s="167" t="s">
        <v>1459</v>
      </c>
      <c r="B1515" s="168">
        <v>373</v>
      </c>
      <c r="C1515" s="167" t="s">
        <v>1455</v>
      </c>
      <c r="D1515" s="168">
        <v>75</v>
      </c>
      <c r="E1515" s="168">
        <v>2</v>
      </c>
    </row>
    <row r="1516" spans="1:5" ht="12.75">
      <c r="A1516" s="167" t="s">
        <v>1273</v>
      </c>
      <c r="B1516" s="168">
        <v>373</v>
      </c>
      <c r="C1516" s="167" t="s">
        <v>1455</v>
      </c>
      <c r="D1516" s="168">
        <v>175</v>
      </c>
      <c r="E1516" s="168">
        <v>7</v>
      </c>
    </row>
    <row r="1517" spans="1:5" ht="12.75">
      <c r="A1517" s="167" t="s">
        <v>1460</v>
      </c>
      <c r="B1517" s="168">
        <v>373</v>
      </c>
      <c r="C1517" s="167" t="s">
        <v>1455</v>
      </c>
      <c r="D1517" s="168">
        <v>178</v>
      </c>
      <c r="E1517" s="168">
        <v>17</v>
      </c>
    </row>
    <row r="1518" spans="1:5" ht="12.75">
      <c r="A1518" s="167" t="s">
        <v>1461</v>
      </c>
      <c r="B1518" s="168">
        <v>373</v>
      </c>
      <c r="C1518" s="167" t="s">
        <v>1455</v>
      </c>
      <c r="D1518" s="168">
        <v>68</v>
      </c>
      <c r="E1518" s="168" t="s">
        <v>1083</v>
      </c>
    </row>
    <row r="1519" spans="1:5" ht="12.75">
      <c r="A1519" s="167" t="s">
        <v>1462</v>
      </c>
      <c r="B1519" s="168">
        <v>373</v>
      </c>
      <c r="C1519" s="167" t="s">
        <v>1455</v>
      </c>
      <c r="D1519" s="168">
        <v>95</v>
      </c>
      <c r="E1519" s="168">
        <v>4</v>
      </c>
    </row>
    <row r="1520" spans="1:5" ht="12.75">
      <c r="A1520" s="167" t="s">
        <v>1463</v>
      </c>
      <c r="B1520" s="168">
        <v>373</v>
      </c>
      <c r="C1520" s="167" t="s">
        <v>1455</v>
      </c>
      <c r="D1520" s="168">
        <v>61</v>
      </c>
      <c r="E1520" s="168">
        <v>5</v>
      </c>
    </row>
    <row r="1521" spans="1:5" ht="12.75">
      <c r="A1521" s="167" t="s">
        <v>1464</v>
      </c>
      <c r="B1521" s="168">
        <v>373</v>
      </c>
      <c r="C1521" s="167" t="s">
        <v>1455</v>
      </c>
      <c r="D1521" s="168">
        <v>171</v>
      </c>
      <c r="E1521" s="168" t="s">
        <v>1083</v>
      </c>
    </row>
    <row r="1522" spans="1:5" ht="12.75">
      <c r="A1522" s="167" t="s">
        <v>1465</v>
      </c>
      <c r="B1522" s="168">
        <v>373</v>
      </c>
      <c r="C1522" s="167" t="s">
        <v>1455</v>
      </c>
      <c r="D1522" s="168">
        <v>141</v>
      </c>
      <c r="E1522" s="168">
        <v>20</v>
      </c>
    </row>
    <row r="1523" spans="1:5" ht="12.75">
      <c r="A1523" s="167" t="s">
        <v>1466</v>
      </c>
      <c r="B1523" s="168">
        <v>373</v>
      </c>
      <c r="C1523" s="167" t="s">
        <v>1455</v>
      </c>
      <c r="D1523" s="168">
        <v>163</v>
      </c>
      <c r="E1523" s="168" t="s">
        <v>1083</v>
      </c>
    </row>
    <row r="1524" spans="1:5" ht="12.75">
      <c r="A1524" s="167" t="s">
        <v>1195</v>
      </c>
      <c r="B1524" s="168">
        <v>373</v>
      </c>
      <c r="C1524" s="167" t="s">
        <v>1455</v>
      </c>
      <c r="D1524" s="168">
        <v>169</v>
      </c>
      <c r="E1524" s="168">
        <v>14</v>
      </c>
    </row>
    <row r="1525" spans="1:5" ht="12.75">
      <c r="A1525" s="167" t="s">
        <v>1467</v>
      </c>
      <c r="B1525" s="168">
        <v>373</v>
      </c>
      <c r="C1525" s="167" t="s">
        <v>1455</v>
      </c>
      <c r="D1525" s="168">
        <v>142</v>
      </c>
      <c r="E1525" s="168">
        <v>12</v>
      </c>
    </row>
    <row r="1526" spans="1:5" ht="12.75">
      <c r="A1526" s="167" t="s">
        <v>1468</v>
      </c>
      <c r="B1526" s="168">
        <v>373</v>
      </c>
      <c r="C1526" s="167" t="s">
        <v>1455</v>
      </c>
      <c r="D1526" s="168">
        <v>179</v>
      </c>
      <c r="E1526" s="168">
        <v>19</v>
      </c>
    </row>
    <row r="1527" spans="1:5" ht="12.75">
      <c r="A1527" s="167" t="s">
        <v>1276</v>
      </c>
      <c r="B1527" s="168">
        <v>373</v>
      </c>
      <c r="C1527" s="167" t="s">
        <v>1455</v>
      </c>
      <c r="D1527" s="168">
        <v>177</v>
      </c>
      <c r="E1527" s="168">
        <v>6</v>
      </c>
    </row>
    <row r="1528" spans="1:5" ht="12.75">
      <c r="A1528" s="167" t="s">
        <v>1469</v>
      </c>
      <c r="B1528" s="168">
        <v>373</v>
      </c>
      <c r="C1528" s="167" t="s">
        <v>1455</v>
      </c>
      <c r="D1528" s="168">
        <v>150</v>
      </c>
      <c r="E1528" s="168" t="s">
        <v>1083</v>
      </c>
    </row>
    <row r="1529" spans="1:5" ht="12.75">
      <c r="A1529" s="167" t="s">
        <v>1470</v>
      </c>
      <c r="B1529" s="168">
        <v>373</v>
      </c>
      <c r="C1529" s="167" t="s">
        <v>1455</v>
      </c>
      <c r="D1529" s="168">
        <v>143</v>
      </c>
      <c r="E1529" s="168">
        <v>18</v>
      </c>
    </row>
    <row r="1530" spans="1:5" ht="12.75">
      <c r="A1530" s="167" t="s">
        <v>1471</v>
      </c>
      <c r="B1530" s="168">
        <v>373</v>
      </c>
      <c r="C1530" s="167" t="s">
        <v>1455</v>
      </c>
      <c r="D1530" s="168">
        <v>144</v>
      </c>
      <c r="E1530" s="168">
        <v>13</v>
      </c>
    </row>
    <row r="1531" spans="1:5" ht="12.75">
      <c r="A1531" s="167" t="s">
        <v>1472</v>
      </c>
      <c r="B1531" s="168">
        <v>373</v>
      </c>
      <c r="C1531" s="167" t="s">
        <v>1455</v>
      </c>
      <c r="D1531" s="168">
        <v>168</v>
      </c>
      <c r="E1531" s="168" t="s">
        <v>1083</v>
      </c>
    </row>
    <row r="1532" spans="1:5" ht="12.75">
      <c r="A1532" s="167" t="s">
        <v>1473</v>
      </c>
      <c r="B1532" s="168">
        <v>373</v>
      </c>
      <c r="C1532" s="167" t="s">
        <v>1455</v>
      </c>
      <c r="D1532" s="168">
        <v>145</v>
      </c>
      <c r="E1532" s="168" t="s">
        <v>1083</v>
      </c>
    </row>
    <row r="1533" spans="1:5" ht="12.75">
      <c r="A1533" s="167" t="s">
        <v>1474</v>
      </c>
      <c r="B1533" s="168">
        <v>373</v>
      </c>
      <c r="C1533" s="167" t="s">
        <v>1455</v>
      </c>
      <c r="D1533" s="168">
        <v>131</v>
      </c>
      <c r="E1533" s="168" t="s">
        <v>1083</v>
      </c>
    </row>
    <row r="1534" spans="1:5" ht="12.75">
      <c r="A1534" s="167" t="s">
        <v>1475</v>
      </c>
      <c r="B1534" s="168">
        <v>373</v>
      </c>
      <c r="C1534" s="167" t="s">
        <v>1455</v>
      </c>
      <c r="D1534" s="168">
        <v>133</v>
      </c>
      <c r="E1534" s="168" t="s">
        <v>1083</v>
      </c>
    </row>
    <row r="1535" spans="1:5" ht="12.75">
      <c r="A1535" s="167" t="s">
        <v>1278</v>
      </c>
      <c r="B1535" s="168">
        <v>373</v>
      </c>
      <c r="C1535" s="167" t="s">
        <v>1455</v>
      </c>
      <c r="D1535" s="168">
        <v>176</v>
      </c>
      <c r="E1535" s="168">
        <v>10</v>
      </c>
    </row>
    <row r="1536" spans="1:5" ht="12.75">
      <c r="A1536" s="167" t="s">
        <v>1476</v>
      </c>
      <c r="B1536" s="168">
        <v>373</v>
      </c>
      <c r="C1536" s="167" t="s">
        <v>1455</v>
      </c>
      <c r="D1536" s="168">
        <v>90</v>
      </c>
      <c r="E1536" s="168" t="s">
        <v>1083</v>
      </c>
    </row>
    <row r="1537" spans="1:5" ht="12.75">
      <c r="A1537" s="167" t="s">
        <v>1477</v>
      </c>
      <c r="B1537" s="168">
        <v>373</v>
      </c>
      <c r="C1537" s="167" t="s">
        <v>1455</v>
      </c>
      <c r="D1537" s="168">
        <v>114</v>
      </c>
      <c r="E1537" s="168">
        <v>9</v>
      </c>
    </row>
    <row r="1538" spans="1:5" ht="12.75">
      <c r="A1538" s="167" t="s">
        <v>1478</v>
      </c>
      <c r="B1538" s="168">
        <v>373</v>
      </c>
      <c r="C1538" s="167" t="s">
        <v>1455</v>
      </c>
      <c r="D1538" s="168">
        <v>167</v>
      </c>
      <c r="E1538" s="168" t="s">
        <v>1083</v>
      </c>
    </row>
    <row r="1539" spans="1:5" ht="12.75">
      <c r="A1539" s="167" t="s">
        <v>1479</v>
      </c>
      <c r="B1539" s="168">
        <v>373</v>
      </c>
      <c r="C1539" s="167" t="s">
        <v>1455</v>
      </c>
      <c r="D1539" s="168">
        <v>153</v>
      </c>
      <c r="E1539" s="168">
        <v>21</v>
      </c>
    </row>
    <row r="1540" spans="1:5" ht="12.75">
      <c r="A1540" s="167" t="s">
        <v>1480</v>
      </c>
      <c r="B1540" s="168">
        <v>373</v>
      </c>
      <c r="C1540" s="167" t="s">
        <v>1455</v>
      </c>
      <c r="D1540" s="168">
        <v>51</v>
      </c>
      <c r="E1540" s="168">
        <v>1</v>
      </c>
    </row>
    <row r="1541" spans="1:5" ht="12.75">
      <c r="A1541" s="167" t="s">
        <v>1481</v>
      </c>
      <c r="B1541" s="168">
        <v>373</v>
      </c>
      <c r="C1541" s="167" t="s">
        <v>1455</v>
      </c>
      <c r="D1541" s="168">
        <v>113</v>
      </c>
      <c r="E1541" s="168" t="s">
        <v>1083</v>
      </c>
    </row>
    <row r="1542" spans="1:5" ht="12.75">
      <c r="A1542" s="167" t="s">
        <v>1021</v>
      </c>
      <c r="B1542" s="168">
        <v>373</v>
      </c>
      <c r="C1542" s="167" t="s">
        <v>1455</v>
      </c>
      <c r="D1542" s="168">
        <v>1</v>
      </c>
      <c r="E1542" s="168" t="s">
        <v>1083</v>
      </c>
    </row>
    <row r="1543" spans="1:5" ht="12.75">
      <c r="A1543" s="167" t="s">
        <v>1482</v>
      </c>
      <c r="B1543" s="168">
        <v>373</v>
      </c>
      <c r="C1543" s="167" t="s">
        <v>1455</v>
      </c>
      <c r="D1543" s="168">
        <v>54</v>
      </c>
      <c r="E1543" s="168">
        <v>8</v>
      </c>
    </row>
    <row r="1544" spans="1:5" ht="12.75">
      <c r="A1544" s="167" t="s">
        <v>1483</v>
      </c>
      <c r="B1544" s="168">
        <v>373</v>
      </c>
      <c r="C1544" s="167" t="s">
        <v>1455</v>
      </c>
      <c r="D1544" s="168">
        <v>27</v>
      </c>
      <c r="E1544" s="168">
        <v>3</v>
      </c>
    </row>
    <row r="1545" spans="1:5" ht="12.75">
      <c r="A1545" s="167" t="s">
        <v>1484</v>
      </c>
      <c r="B1545" s="168">
        <v>400</v>
      </c>
      <c r="C1545" s="167" t="s">
        <v>1485</v>
      </c>
      <c r="D1545" s="168">
        <v>119</v>
      </c>
      <c r="E1545" s="168">
        <v>11</v>
      </c>
    </row>
    <row r="1546" spans="1:5" ht="12.75">
      <c r="A1546" s="167" t="s">
        <v>1486</v>
      </c>
      <c r="B1546" s="168">
        <v>400</v>
      </c>
      <c r="C1546" s="167" t="s">
        <v>1485</v>
      </c>
      <c r="D1546" s="168">
        <v>118</v>
      </c>
      <c r="E1546" s="168">
        <v>2</v>
      </c>
    </row>
    <row r="1547" spans="1:5" ht="12.75">
      <c r="A1547" s="167" t="s">
        <v>1487</v>
      </c>
      <c r="B1547" s="168">
        <v>400</v>
      </c>
      <c r="C1547" s="167" t="s">
        <v>1485</v>
      </c>
      <c r="D1547" s="168">
        <v>27</v>
      </c>
      <c r="E1547" s="168">
        <v>16</v>
      </c>
    </row>
    <row r="1548" spans="1:5" ht="12.75">
      <c r="A1548" s="167" t="s">
        <v>1488</v>
      </c>
      <c r="B1548" s="168">
        <v>400</v>
      </c>
      <c r="C1548" s="167" t="s">
        <v>1485</v>
      </c>
      <c r="D1548" s="168">
        <v>69</v>
      </c>
      <c r="E1548" s="168" t="s">
        <v>1083</v>
      </c>
    </row>
    <row r="1549" spans="1:5" ht="12.75">
      <c r="A1549" s="167" t="s">
        <v>1489</v>
      </c>
      <c r="B1549" s="168">
        <v>400</v>
      </c>
      <c r="C1549" s="167" t="s">
        <v>1485</v>
      </c>
      <c r="D1549" s="168">
        <v>12</v>
      </c>
      <c r="E1549" s="168" t="s">
        <v>1083</v>
      </c>
    </row>
    <row r="1550" spans="1:5" ht="12.75">
      <c r="A1550" s="167" t="s">
        <v>1490</v>
      </c>
      <c r="B1550" s="168">
        <v>400</v>
      </c>
      <c r="C1550" s="167" t="s">
        <v>1485</v>
      </c>
      <c r="D1550" s="168">
        <v>120</v>
      </c>
      <c r="E1550" s="168">
        <v>12</v>
      </c>
    </row>
    <row r="1551" spans="1:5" ht="12.75">
      <c r="A1551" s="167" t="s">
        <v>1491</v>
      </c>
      <c r="B1551" s="168">
        <v>400</v>
      </c>
      <c r="C1551" s="167" t="s">
        <v>1485</v>
      </c>
      <c r="D1551" s="168">
        <v>110</v>
      </c>
      <c r="E1551" s="168">
        <v>6</v>
      </c>
    </row>
    <row r="1552" spans="1:5" ht="12.75">
      <c r="A1552" s="167" t="s">
        <v>1492</v>
      </c>
      <c r="B1552" s="168">
        <v>400</v>
      </c>
      <c r="C1552" s="167" t="s">
        <v>1485</v>
      </c>
      <c r="D1552" s="168">
        <v>121</v>
      </c>
      <c r="E1552" s="168">
        <v>7</v>
      </c>
    </row>
    <row r="1553" spans="1:5" ht="12.75">
      <c r="A1553" s="167" t="s">
        <v>1493</v>
      </c>
      <c r="B1553" s="168">
        <v>400</v>
      </c>
      <c r="C1553" s="167" t="s">
        <v>1485</v>
      </c>
      <c r="D1553" s="168">
        <v>92</v>
      </c>
      <c r="E1553" s="168" t="s">
        <v>1083</v>
      </c>
    </row>
    <row r="1554" spans="1:5" ht="12.75">
      <c r="A1554" s="167" t="s">
        <v>1494</v>
      </c>
      <c r="B1554" s="168">
        <v>400</v>
      </c>
      <c r="C1554" s="167" t="s">
        <v>1485</v>
      </c>
      <c r="D1554" s="168">
        <v>15</v>
      </c>
      <c r="E1554" s="168" t="s">
        <v>1083</v>
      </c>
    </row>
    <row r="1555" spans="1:5" ht="12.75">
      <c r="A1555" s="167" t="s">
        <v>1495</v>
      </c>
      <c r="B1555" s="168">
        <v>400</v>
      </c>
      <c r="C1555" s="167" t="s">
        <v>1485</v>
      </c>
      <c r="D1555" s="168">
        <v>109</v>
      </c>
      <c r="E1555" s="168">
        <v>1</v>
      </c>
    </row>
    <row r="1556" spans="1:5" ht="12.75">
      <c r="A1556" s="167" t="s">
        <v>1496</v>
      </c>
      <c r="B1556" s="168">
        <v>400</v>
      </c>
      <c r="C1556" s="167" t="s">
        <v>1485</v>
      </c>
      <c r="D1556" s="168">
        <v>113</v>
      </c>
      <c r="E1556" s="168">
        <v>15</v>
      </c>
    </row>
    <row r="1557" spans="1:5" ht="12.75">
      <c r="A1557" s="167" t="s">
        <v>1497</v>
      </c>
      <c r="B1557" s="168">
        <v>400</v>
      </c>
      <c r="C1557" s="167" t="s">
        <v>1485</v>
      </c>
      <c r="D1557" s="168">
        <v>101</v>
      </c>
      <c r="E1557" s="168">
        <v>3</v>
      </c>
    </row>
    <row r="1558" spans="1:5" ht="12.75">
      <c r="A1558" s="167" t="s">
        <v>1498</v>
      </c>
      <c r="B1558" s="168">
        <v>400</v>
      </c>
      <c r="C1558" s="167" t="s">
        <v>1485</v>
      </c>
      <c r="D1558" s="168">
        <v>122</v>
      </c>
      <c r="E1558" s="168">
        <v>14</v>
      </c>
    </row>
    <row r="1559" spans="1:5" ht="12.75">
      <c r="A1559" s="167" t="s">
        <v>1499</v>
      </c>
      <c r="B1559" s="168">
        <v>400</v>
      </c>
      <c r="C1559" s="167" t="s">
        <v>1485</v>
      </c>
      <c r="D1559" s="168">
        <v>93</v>
      </c>
      <c r="E1559" s="168">
        <v>4</v>
      </c>
    </row>
    <row r="1560" spans="1:5" ht="12.75">
      <c r="A1560" s="167" t="s">
        <v>1500</v>
      </c>
      <c r="B1560" s="168">
        <v>400</v>
      </c>
      <c r="C1560" s="167" t="s">
        <v>1485</v>
      </c>
      <c r="D1560" s="168">
        <v>10</v>
      </c>
      <c r="E1560" s="168" t="s">
        <v>1083</v>
      </c>
    </row>
    <row r="1561" spans="1:5" ht="12.75">
      <c r="A1561" s="167" t="s">
        <v>1501</v>
      </c>
      <c r="B1561" s="168">
        <v>400</v>
      </c>
      <c r="C1561" s="167" t="s">
        <v>1485</v>
      </c>
      <c r="D1561" s="168">
        <v>123</v>
      </c>
      <c r="E1561" s="168">
        <v>13</v>
      </c>
    </row>
    <row r="1562" spans="1:5" ht="12.75">
      <c r="A1562" s="167" t="s">
        <v>1502</v>
      </c>
      <c r="B1562" s="168">
        <v>400</v>
      </c>
      <c r="C1562" s="167" t="s">
        <v>1485</v>
      </c>
      <c r="D1562" s="168">
        <v>102</v>
      </c>
      <c r="E1562" s="168" t="s">
        <v>1083</v>
      </c>
    </row>
    <row r="1563" spans="1:5" ht="12.75">
      <c r="A1563" s="167" t="s">
        <v>1503</v>
      </c>
      <c r="B1563" s="168">
        <v>400</v>
      </c>
      <c r="C1563" s="167" t="s">
        <v>1485</v>
      </c>
      <c r="D1563" s="168">
        <v>124</v>
      </c>
      <c r="E1563" s="168">
        <v>5</v>
      </c>
    </row>
    <row r="1564" spans="1:5" ht="12.75">
      <c r="A1564" s="167" t="s">
        <v>1388</v>
      </c>
      <c r="B1564" s="168">
        <v>400</v>
      </c>
      <c r="C1564" s="167" t="s">
        <v>1485</v>
      </c>
      <c r="D1564" s="168">
        <v>30</v>
      </c>
      <c r="E1564" s="168">
        <v>8</v>
      </c>
    </row>
    <row r="1565" spans="1:5" ht="12.75">
      <c r="A1565" s="167" t="s">
        <v>1504</v>
      </c>
      <c r="B1565" s="168">
        <v>400</v>
      </c>
      <c r="C1565" s="167" t="s">
        <v>1485</v>
      </c>
      <c r="D1565" s="168">
        <v>125</v>
      </c>
      <c r="E1565" s="168">
        <v>17</v>
      </c>
    </row>
    <row r="1566" spans="1:5" ht="12.75">
      <c r="A1566" s="167" t="s">
        <v>1505</v>
      </c>
      <c r="B1566" s="168">
        <v>400</v>
      </c>
      <c r="C1566" s="167" t="s">
        <v>1485</v>
      </c>
      <c r="D1566" s="168">
        <v>112</v>
      </c>
      <c r="E1566" s="168">
        <v>20</v>
      </c>
    </row>
    <row r="1567" spans="1:5" ht="12.75">
      <c r="A1567" s="167" t="s">
        <v>1506</v>
      </c>
      <c r="B1567" s="168">
        <v>400</v>
      </c>
      <c r="C1567" s="167" t="s">
        <v>1485</v>
      </c>
      <c r="D1567" s="168">
        <v>35</v>
      </c>
      <c r="E1567" s="168">
        <v>9</v>
      </c>
    </row>
    <row r="1568" spans="1:5" ht="12.75">
      <c r="A1568" s="167" t="s">
        <v>1507</v>
      </c>
      <c r="B1568" s="168">
        <v>400</v>
      </c>
      <c r="C1568" s="167" t="s">
        <v>1485</v>
      </c>
      <c r="D1568" s="168">
        <v>24</v>
      </c>
      <c r="E1568" s="168">
        <v>10</v>
      </c>
    </row>
    <row r="1569" spans="1:5" ht="12.75">
      <c r="A1569" s="167" t="s">
        <v>1508</v>
      </c>
      <c r="B1569" s="168">
        <v>400</v>
      </c>
      <c r="C1569" s="167" t="s">
        <v>1485</v>
      </c>
      <c r="D1569" s="168">
        <v>51</v>
      </c>
      <c r="E1569" s="168" t="s">
        <v>1083</v>
      </c>
    </row>
    <row r="1570" spans="1:5" ht="12.75">
      <c r="A1570" s="167" t="s">
        <v>1509</v>
      </c>
      <c r="B1570" s="168">
        <v>400</v>
      </c>
      <c r="C1570" s="167" t="s">
        <v>1485</v>
      </c>
      <c r="D1570" s="168">
        <v>94</v>
      </c>
      <c r="E1570" s="168" t="s">
        <v>1083</v>
      </c>
    </row>
    <row r="1571" spans="1:5" ht="12.75">
      <c r="A1571" s="167" t="s">
        <v>1510</v>
      </c>
      <c r="B1571" s="168">
        <v>400</v>
      </c>
      <c r="C1571" s="167" t="s">
        <v>1485</v>
      </c>
      <c r="D1571" s="168">
        <v>39</v>
      </c>
      <c r="E1571" s="168" t="s">
        <v>1083</v>
      </c>
    </row>
    <row r="1572" spans="1:5" ht="12.75">
      <c r="A1572" s="167" t="s">
        <v>1511</v>
      </c>
      <c r="B1572" s="168">
        <v>400</v>
      </c>
      <c r="C1572" s="167" t="s">
        <v>1485</v>
      </c>
      <c r="D1572" s="168">
        <v>38</v>
      </c>
      <c r="E1572" s="168" t="s">
        <v>1083</v>
      </c>
    </row>
    <row r="1573" spans="1:5" ht="12.75">
      <c r="A1573" s="167" t="s">
        <v>1512</v>
      </c>
      <c r="B1573" s="168">
        <v>400</v>
      </c>
      <c r="C1573" s="167" t="s">
        <v>1485</v>
      </c>
      <c r="D1573" s="168">
        <v>90</v>
      </c>
      <c r="E1573" s="168">
        <v>18</v>
      </c>
    </row>
    <row r="1574" spans="1:5" ht="12.75">
      <c r="A1574" s="167" t="s">
        <v>1513</v>
      </c>
      <c r="B1574" s="168">
        <v>400</v>
      </c>
      <c r="C1574" s="167" t="s">
        <v>1485</v>
      </c>
      <c r="D1574" s="168">
        <v>63</v>
      </c>
      <c r="E1574" s="168">
        <v>19</v>
      </c>
    </row>
    <row r="1575" spans="1:5" ht="12.75">
      <c r="A1575" s="167" t="s">
        <v>1514</v>
      </c>
      <c r="B1575" s="168">
        <v>418</v>
      </c>
      <c r="C1575" s="167" t="s">
        <v>1515</v>
      </c>
      <c r="D1575" s="168">
        <v>17</v>
      </c>
      <c r="E1575" s="168">
        <v>13</v>
      </c>
    </row>
    <row r="1576" spans="1:5" ht="12.75">
      <c r="A1576" s="167" t="s">
        <v>1516</v>
      </c>
      <c r="B1576" s="168">
        <v>418</v>
      </c>
      <c r="C1576" s="167" t="s">
        <v>1515</v>
      </c>
      <c r="D1576" s="168">
        <v>22</v>
      </c>
      <c r="E1576" s="168">
        <v>7</v>
      </c>
    </row>
    <row r="1577" spans="1:5" ht="12.75">
      <c r="A1577" s="167" t="s">
        <v>1517</v>
      </c>
      <c r="B1577" s="168">
        <v>418</v>
      </c>
      <c r="C1577" s="167" t="s">
        <v>1515</v>
      </c>
      <c r="D1577" s="168">
        <v>7</v>
      </c>
      <c r="E1577" s="168">
        <v>17</v>
      </c>
    </row>
    <row r="1578" spans="1:5" ht="12.75">
      <c r="A1578" s="167" t="s">
        <v>1518</v>
      </c>
      <c r="B1578" s="168">
        <v>418</v>
      </c>
      <c r="C1578" s="167" t="s">
        <v>1515</v>
      </c>
      <c r="D1578" s="168">
        <v>24</v>
      </c>
      <c r="E1578" s="168">
        <v>2</v>
      </c>
    </row>
    <row r="1579" spans="1:5" ht="12.75">
      <c r="A1579" s="167" t="s">
        <v>1519</v>
      </c>
      <c r="B1579" s="168">
        <v>418</v>
      </c>
      <c r="C1579" s="167" t="s">
        <v>1515</v>
      </c>
      <c r="D1579" s="168">
        <v>56</v>
      </c>
      <c r="E1579" s="168">
        <v>3</v>
      </c>
    </row>
    <row r="1580" spans="1:5" ht="12.75">
      <c r="A1580" s="167" t="s">
        <v>1520</v>
      </c>
      <c r="B1580" s="168">
        <v>418</v>
      </c>
      <c r="C1580" s="167" t="s">
        <v>1515</v>
      </c>
      <c r="D1580" s="168">
        <v>14</v>
      </c>
      <c r="E1580" s="168">
        <v>15</v>
      </c>
    </row>
    <row r="1581" spans="1:5" ht="12.75">
      <c r="A1581" s="167" t="s">
        <v>1521</v>
      </c>
      <c r="B1581" s="168">
        <v>418</v>
      </c>
      <c r="C1581" s="167" t="s">
        <v>1515</v>
      </c>
      <c r="D1581" s="168">
        <v>12</v>
      </c>
      <c r="E1581" s="168">
        <v>10</v>
      </c>
    </row>
    <row r="1582" spans="1:5" ht="12.75">
      <c r="A1582" s="167" t="s">
        <v>1522</v>
      </c>
      <c r="B1582" s="168">
        <v>418</v>
      </c>
      <c r="C1582" s="167" t="s">
        <v>1515</v>
      </c>
      <c r="D1582" s="168">
        <v>8</v>
      </c>
      <c r="E1582" s="168">
        <v>14</v>
      </c>
    </row>
    <row r="1583" spans="1:5" ht="12.75">
      <c r="A1583" s="167" t="s">
        <v>1523</v>
      </c>
      <c r="B1583" s="168">
        <v>418</v>
      </c>
      <c r="C1583" s="167" t="s">
        <v>1515</v>
      </c>
      <c r="D1583" s="168">
        <v>32</v>
      </c>
      <c r="E1583" s="168">
        <v>11</v>
      </c>
    </row>
    <row r="1584" spans="1:5" ht="12.75">
      <c r="A1584" s="167" t="s">
        <v>1524</v>
      </c>
      <c r="B1584" s="168">
        <v>418</v>
      </c>
      <c r="C1584" s="167" t="s">
        <v>1515</v>
      </c>
      <c r="D1584" s="168">
        <v>35</v>
      </c>
      <c r="E1584" s="168">
        <v>8</v>
      </c>
    </row>
    <row r="1585" spans="1:5" ht="12.75">
      <c r="A1585" s="167" t="s">
        <v>1525</v>
      </c>
      <c r="B1585" s="168">
        <v>418</v>
      </c>
      <c r="C1585" s="167" t="s">
        <v>1515</v>
      </c>
      <c r="D1585" s="168">
        <v>45</v>
      </c>
      <c r="E1585" s="168">
        <v>1</v>
      </c>
    </row>
    <row r="1586" spans="1:5" ht="12.75">
      <c r="A1586" s="167" t="s">
        <v>1526</v>
      </c>
      <c r="B1586" s="168">
        <v>418</v>
      </c>
      <c r="C1586" s="167" t="s">
        <v>1515</v>
      </c>
      <c r="D1586" s="168">
        <v>43</v>
      </c>
      <c r="E1586" s="168">
        <v>16</v>
      </c>
    </row>
    <row r="1587" spans="1:5" ht="12.75">
      <c r="A1587" s="167" t="s">
        <v>1527</v>
      </c>
      <c r="B1587" s="168">
        <v>418</v>
      </c>
      <c r="C1587" s="167" t="s">
        <v>1515</v>
      </c>
      <c r="D1587" s="168">
        <v>57</v>
      </c>
      <c r="E1587" s="168">
        <v>4</v>
      </c>
    </row>
    <row r="1588" spans="1:5" ht="12.75">
      <c r="A1588" s="167" t="s">
        <v>1528</v>
      </c>
      <c r="B1588" s="168">
        <v>418</v>
      </c>
      <c r="C1588" s="167" t="s">
        <v>1515</v>
      </c>
      <c r="D1588" s="168">
        <v>16</v>
      </c>
      <c r="E1588" s="168">
        <v>5</v>
      </c>
    </row>
    <row r="1589" spans="1:5" ht="12.75">
      <c r="A1589" s="167" t="s">
        <v>1529</v>
      </c>
      <c r="B1589" s="168">
        <v>418</v>
      </c>
      <c r="C1589" s="167" t="s">
        <v>1515</v>
      </c>
      <c r="D1589" s="168">
        <v>27</v>
      </c>
      <c r="E1589" s="168">
        <v>12</v>
      </c>
    </row>
    <row r="1590" spans="1:5" ht="12.75">
      <c r="A1590" s="167" t="s">
        <v>1530</v>
      </c>
      <c r="B1590" s="168">
        <v>418</v>
      </c>
      <c r="C1590" s="167" t="s">
        <v>1515</v>
      </c>
      <c r="D1590" s="168">
        <v>49</v>
      </c>
      <c r="E1590" s="168">
        <v>9</v>
      </c>
    </row>
    <row r="1591" spans="1:5" ht="12.75">
      <c r="A1591" s="167" t="s">
        <v>1531</v>
      </c>
      <c r="B1591" s="168">
        <v>418</v>
      </c>
      <c r="C1591" s="167" t="s">
        <v>1515</v>
      </c>
      <c r="D1591" s="168">
        <v>28</v>
      </c>
      <c r="E1591" s="168">
        <v>6</v>
      </c>
    </row>
    <row r="1592" spans="1:5" ht="12.75">
      <c r="A1592" s="167" t="s">
        <v>1532</v>
      </c>
      <c r="B1592" s="168">
        <v>424</v>
      </c>
      <c r="C1592" s="167" t="s">
        <v>1533</v>
      </c>
      <c r="D1592" s="168">
        <v>18</v>
      </c>
      <c r="E1592" s="168">
        <v>8</v>
      </c>
    </row>
    <row r="1593" spans="1:5" ht="12.75">
      <c r="A1593" s="167" t="s">
        <v>1534</v>
      </c>
      <c r="B1593" s="168">
        <v>424</v>
      </c>
      <c r="C1593" s="167" t="s">
        <v>1533</v>
      </c>
      <c r="D1593" s="168">
        <v>113</v>
      </c>
      <c r="E1593" s="168" t="s">
        <v>1083</v>
      </c>
    </row>
    <row r="1594" spans="1:5" ht="12.75">
      <c r="A1594" s="167" t="s">
        <v>1535</v>
      </c>
      <c r="B1594" s="168">
        <v>424</v>
      </c>
      <c r="C1594" s="167" t="s">
        <v>1533</v>
      </c>
      <c r="D1594" s="168">
        <v>19</v>
      </c>
      <c r="E1594" s="168" t="s">
        <v>1083</v>
      </c>
    </row>
    <row r="1595" spans="1:5" ht="12.75">
      <c r="A1595" s="167" t="s">
        <v>1409</v>
      </c>
      <c r="B1595" s="168">
        <v>424</v>
      </c>
      <c r="C1595" s="167" t="s">
        <v>1533</v>
      </c>
      <c r="D1595" s="168">
        <v>33</v>
      </c>
      <c r="E1595" s="168" t="s">
        <v>1083</v>
      </c>
    </row>
    <row r="1596" spans="1:5" ht="12.75">
      <c r="A1596" s="167" t="s">
        <v>1536</v>
      </c>
      <c r="B1596" s="168">
        <v>424</v>
      </c>
      <c r="C1596" s="167" t="s">
        <v>1533</v>
      </c>
      <c r="D1596" s="168">
        <v>34</v>
      </c>
      <c r="E1596" s="168" t="s">
        <v>1083</v>
      </c>
    </row>
    <row r="1597" spans="1:5" ht="12.75">
      <c r="A1597" s="167" t="s">
        <v>1537</v>
      </c>
      <c r="B1597" s="168">
        <v>424</v>
      </c>
      <c r="C1597" s="167" t="s">
        <v>1533</v>
      </c>
      <c r="D1597" s="168">
        <v>2</v>
      </c>
      <c r="E1597" s="168">
        <v>4</v>
      </c>
    </row>
    <row r="1598" spans="1:5" ht="12.75">
      <c r="A1598" s="167" t="s">
        <v>1538</v>
      </c>
      <c r="B1598" s="168">
        <v>424</v>
      </c>
      <c r="C1598" s="167" t="s">
        <v>1533</v>
      </c>
      <c r="D1598" s="168">
        <v>44</v>
      </c>
      <c r="E1598" s="168" t="s">
        <v>1083</v>
      </c>
    </row>
    <row r="1599" spans="1:5" ht="12.75">
      <c r="A1599" s="167" t="s">
        <v>1539</v>
      </c>
      <c r="B1599" s="168">
        <v>424</v>
      </c>
      <c r="C1599" s="167" t="s">
        <v>1533</v>
      </c>
      <c r="D1599" s="168">
        <v>111</v>
      </c>
      <c r="E1599" s="168" t="s">
        <v>1083</v>
      </c>
    </row>
    <row r="1600" spans="1:5" ht="12.75">
      <c r="A1600" s="167" t="s">
        <v>1540</v>
      </c>
      <c r="B1600" s="168">
        <v>424</v>
      </c>
      <c r="C1600" s="167" t="s">
        <v>1533</v>
      </c>
      <c r="D1600" s="168">
        <v>20</v>
      </c>
      <c r="E1600" s="168">
        <v>3</v>
      </c>
    </row>
    <row r="1601" spans="1:5" ht="12.75">
      <c r="A1601" s="167" t="s">
        <v>1541</v>
      </c>
      <c r="B1601" s="168">
        <v>424</v>
      </c>
      <c r="C1601" s="167" t="s">
        <v>1533</v>
      </c>
      <c r="D1601" s="168">
        <v>118</v>
      </c>
      <c r="E1601" s="168" t="s">
        <v>1083</v>
      </c>
    </row>
    <row r="1602" spans="1:5" ht="12.75">
      <c r="A1602" s="167" t="s">
        <v>1542</v>
      </c>
      <c r="B1602" s="168">
        <v>424</v>
      </c>
      <c r="C1602" s="167" t="s">
        <v>1533</v>
      </c>
      <c r="D1602" s="168">
        <v>21</v>
      </c>
      <c r="E1602" s="168" t="s">
        <v>1083</v>
      </c>
    </row>
    <row r="1603" spans="1:5" ht="12.75">
      <c r="A1603" s="167" t="s">
        <v>1543</v>
      </c>
      <c r="B1603" s="168">
        <v>424</v>
      </c>
      <c r="C1603" s="167" t="s">
        <v>1533</v>
      </c>
      <c r="D1603" s="168">
        <v>6</v>
      </c>
      <c r="E1603" s="168">
        <v>2</v>
      </c>
    </row>
    <row r="1604" spans="1:5" ht="12.75">
      <c r="A1604" s="167" t="s">
        <v>1544</v>
      </c>
      <c r="B1604" s="168">
        <v>424</v>
      </c>
      <c r="C1604" s="167" t="s">
        <v>1533</v>
      </c>
      <c r="D1604" s="168">
        <v>22</v>
      </c>
      <c r="E1604" s="168">
        <v>10</v>
      </c>
    </row>
    <row r="1605" spans="1:5" ht="12.75">
      <c r="A1605" s="167" t="s">
        <v>1545</v>
      </c>
      <c r="B1605" s="168">
        <v>424</v>
      </c>
      <c r="C1605" s="167" t="s">
        <v>1533</v>
      </c>
      <c r="D1605" s="168">
        <v>23</v>
      </c>
      <c r="E1605" s="168">
        <v>7</v>
      </c>
    </row>
    <row r="1606" spans="1:5" ht="12.75">
      <c r="A1606" s="167" t="s">
        <v>1546</v>
      </c>
      <c r="B1606" s="168">
        <v>424</v>
      </c>
      <c r="C1606" s="167" t="s">
        <v>1533</v>
      </c>
      <c r="D1606" s="168">
        <v>24</v>
      </c>
      <c r="E1606" s="168">
        <v>11</v>
      </c>
    </row>
    <row r="1607" spans="1:5" ht="12.75">
      <c r="A1607" s="167" t="s">
        <v>1547</v>
      </c>
      <c r="B1607" s="168">
        <v>424</v>
      </c>
      <c r="C1607" s="167" t="s">
        <v>1533</v>
      </c>
      <c r="D1607" s="168">
        <v>104</v>
      </c>
      <c r="E1607" s="168" t="s">
        <v>1083</v>
      </c>
    </row>
    <row r="1608" spans="1:5" ht="12.75">
      <c r="A1608" s="167" t="s">
        <v>1548</v>
      </c>
      <c r="B1608" s="168">
        <v>424</v>
      </c>
      <c r="C1608" s="167" t="s">
        <v>1533</v>
      </c>
      <c r="D1608" s="168">
        <v>115</v>
      </c>
      <c r="E1608" s="168" t="s">
        <v>1083</v>
      </c>
    </row>
    <row r="1609" spans="1:5" ht="12.75">
      <c r="A1609" s="167" t="s">
        <v>1548</v>
      </c>
      <c r="B1609" s="168">
        <v>424</v>
      </c>
      <c r="C1609" s="167" t="s">
        <v>1533</v>
      </c>
      <c r="D1609" s="168">
        <v>25</v>
      </c>
      <c r="E1609" s="168" t="s">
        <v>1083</v>
      </c>
    </row>
    <row r="1610" spans="1:5" ht="12.75">
      <c r="A1610" s="167" t="s">
        <v>1549</v>
      </c>
      <c r="B1610" s="168">
        <v>424</v>
      </c>
      <c r="C1610" s="167" t="s">
        <v>1533</v>
      </c>
      <c r="D1610" s="168">
        <v>70</v>
      </c>
      <c r="E1610" s="168" t="s">
        <v>1083</v>
      </c>
    </row>
    <row r="1611" spans="1:5" ht="12.75">
      <c r="A1611" s="167" t="s">
        <v>1550</v>
      </c>
      <c r="B1611" s="168">
        <v>424</v>
      </c>
      <c r="C1611" s="167" t="s">
        <v>1533</v>
      </c>
      <c r="D1611" s="168">
        <v>45</v>
      </c>
      <c r="E1611" s="168" t="s">
        <v>1083</v>
      </c>
    </row>
    <row r="1612" spans="1:5" ht="12.75">
      <c r="A1612" s="167" t="s">
        <v>1551</v>
      </c>
      <c r="B1612" s="168">
        <v>424</v>
      </c>
      <c r="C1612" s="167" t="s">
        <v>1533</v>
      </c>
      <c r="D1612" s="168">
        <v>26</v>
      </c>
      <c r="E1612" s="168">
        <v>14</v>
      </c>
    </row>
    <row r="1613" spans="1:5" ht="12.75">
      <c r="A1613" s="167" t="s">
        <v>1552</v>
      </c>
      <c r="B1613" s="168">
        <v>424</v>
      </c>
      <c r="C1613" s="167" t="s">
        <v>1533</v>
      </c>
      <c r="D1613" s="168">
        <v>71</v>
      </c>
      <c r="E1613" s="168" t="s">
        <v>1083</v>
      </c>
    </row>
    <row r="1614" spans="1:5" ht="12.75">
      <c r="A1614" s="167" t="s">
        <v>1553</v>
      </c>
      <c r="B1614" s="168">
        <v>424</v>
      </c>
      <c r="C1614" s="167" t="s">
        <v>1533</v>
      </c>
      <c r="D1614" s="168">
        <v>28</v>
      </c>
      <c r="E1614" s="168">
        <v>13</v>
      </c>
    </row>
    <row r="1615" spans="1:5" ht="12.75">
      <c r="A1615" s="167" t="s">
        <v>1554</v>
      </c>
      <c r="B1615" s="168">
        <v>424</v>
      </c>
      <c r="C1615" s="167" t="s">
        <v>1533</v>
      </c>
      <c r="D1615" s="168">
        <v>62</v>
      </c>
      <c r="E1615" s="168">
        <v>12</v>
      </c>
    </row>
    <row r="1616" spans="1:5" ht="12.75">
      <c r="A1616" s="167" t="s">
        <v>1555</v>
      </c>
      <c r="B1616" s="168">
        <v>424</v>
      </c>
      <c r="C1616" s="167" t="s">
        <v>1533</v>
      </c>
      <c r="D1616" s="168">
        <v>56</v>
      </c>
      <c r="E1616" s="168" t="s">
        <v>1083</v>
      </c>
    </row>
    <row r="1617" spans="1:5" ht="12.75">
      <c r="A1617" s="167" t="s">
        <v>1556</v>
      </c>
      <c r="B1617" s="168">
        <v>424</v>
      </c>
      <c r="C1617" s="167" t="s">
        <v>1533</v>
      </c>
      <c r="D1617" s="168">
        <v>48</v>
      </c>
      <c r="E1617" s="168" t="s">
        <v>1083</v>
      </c>
    </row>
    <row r="1618" spans="1:5" ht="12.75">
      <c r="A1618" s="167" t="s">
        <v>1557</v>
      </c>
      <c r="B1618" s="168">
        <v>424</v>
      </c>
      <c r="C1618" s="167" t="s">
        <v>1533</v>
      </c>
      <c r="D1618" s="168">
        <v>49</v>
      </c>
      <c r="E1618" s="168">
        <v>6</v>
      </c>
    </row>
    <row r="1619" spans="1:5" ht="12.75">
      <c r="A1619" s="167" t="s">
        <v>1558</v>
      </c>
      <c r="B1619" s="168">
        <v>424</v>
      </c>
      <c r="C1619" s="167" t="s">
        <v>1533</v>
      </c>
      <c r="D1619" s="168">
        <v>117</v>
      </c>
      <c r="E1619" s="168" t="s">
        <v>1083</v>
      </c>
    </row>
    <row r="1620" spans="1:5" ht="12.75">
      <c r="A1620" s="167" t="s">
        <v>1559</v>
      </c>
      <c r="B1620" s="168">
        <v>424</v>
      </c>
      <c r="C1620" s="167" t="s">
        <v>1533</v>
      </c>
      <c r="D1620" s="168">
        <v>13</v>
      </c>
      <c r="E1620" s="168">
        <v>5</v>
      </c>
    </row>
    <row r="1621" spans="1:5" ht="12.75">
      <c r="A1621" s="167" t="s">
        <v>1560</v>
      </c>
      <c r="B1621" s="168">
        <v>424</v>
      </c>
      <c r="C1621" s="167" t="s">
        <v>1533</v>
      </c>
      <c r="D1621" s="168">
        <v>112</v>
      </c>
      <c r="E1621" s="168" t="s">
        <v>1083</v>
      </c>
    </row>
    <row r="1622" spans="1:5" ht="12.75">
      <c r="A1622" s="167" t="s">
        <v>1561</v>
      </c>
      <c r="B1622" s="168">
        <v>424</v>
      </c>
      <c r="C1622" s="167" t="s">
        <v>1533</v>
      </c>
      <c r="D1622" s="168">
        <v>14</v>
      </c>
      <c r="E1622" s="168" t="s">
        <v>1083</v>
      </c>
    </row>
    <row r="1623" spans="1:5" ht="12.75">
      <c r="A1623" s="167" t="s">
        <v>1562</v>
      </c>
      <c r="B1623" s="168">
        <v>424</v>
      </c>
      <c r="C1623" s="167" t="s">
        <v>1533</v>
      </c>
      <c r="D1623" s="168">
        <v>15</v>
      </c>
      <c r="E1623" s="168" t="s">
        <v>1083</v>
      </c>
    </row>
    <row r="1624" spans="1:5" ht="12.75">
      <c r="A1624" s="167" t="s">
        <v>1563</v>
      </c>
      <c r="B1624" s="168">
        <v>424</v>
      </c>
      <c r="C1624" s="167" t="s">
        <v>1533</v>
      </c>
      <c r="D1624" s="168">
        <v>35</v>
      </c>
      <c r="E1624" s="168">
        <v>1</v>
      </c>
    </row>
    <row r="1625" spans="1:5" ht="12.75">
      <c r="A1625" s="167" t="s">
        <v>1564</v>
      </c>
      <c r="B1625" s="168">
        <v>424</v>
      </c>
      <c r="C1625" s="167" t="s">
        <v>1533</v>
      </c>
      <c r="D1625" s="168">
        <v>116</v>
      </c>
      <c r="E1625" s="168" t="s">
        <v>1083</v>
      </c>
    </row>
    <row r="1626" spans="1:5" ht="12.75">
      <c r="A1626" s="167" t="s">
        <v>1508</v>
      </c>
      <c r="B1626" s="168">
        <v>424</v>
      </c>
      <c r="C1626" s="167" t="s">
        <v>1533</v>
      </c>
      <c r="D1626" s="168">
        <v>38</v>
      </c>
      <c r="E1626" s="168" t="s">
        <v>1083</v>
      </c>
    </row>
    <row r="1627" spans="1:5" ht="12.75">
      <c r="A1627" s="167" t="s">
        <v>1565</v>
      </c>
      <c r="B1627" s="168">
        <v>424</v>
      </c>
      <c r="C1627" s="167" t="s">
        <v>1533</v>
      </c>
      <c r="D1627" s="168">
        <v>16</v>
      </c>
      <c r="E1627" s="168" t="s">
        <v>1083</v>
      </c>
    </row>
    <row r="1628" spans="1:5" ht="12.75">
      <c r="A1628" s="167" t="s">
        <v>1566</v>
      </c>
      <c r="B1628" s="168">
        <v>424</v>
      </c>
      <c r="C1628" s="167" t="s">
        <v>1533</v>
      </c>
      <c r="D1628" s="168">
        <v>39</v>
      </c>
      <c r="E1628" s="168" t="s">
        <v>1083</v>
      </c>
    </row>
    <row r="1629" spans="1:5" ht="12.75">
      <c r="A1629" s="167" t="s">
        <v>1567</v>
      </c>
      <c r="B1629" s="168">
        <v>424</v>
      </c>
      <c r="C1629" s="167" t="s">
        <v>1533</v>
      </c>
      <c r="D1629" s="168">
        <v>40</v>
      </c>
      <c r="E1629" s="168" t="s">
        <v>1083</v>
      </c>
    </row>
    <row r="1630" spans="1:5" ht="12.75">
      <c r="A1630" s="167" t="s">
        <v>1568</v>
      </c>
      <c r="B1630" s="168">
        <v>424</v>
      </c>
      <c r="C1630" s="167" t="s">
        <v>1533</v>
      </c>
      <c r="D1630" s="168">
        <v>114</v>
      </c>
      <c r="E1630" s="168" t="s">
        <v>1083</v>
      </c>
    </row>
    <row r="1631" spans="1:5" ht="12.75">
      <c r="A1631" s="167" t="s">
        <v>1569</v>
      </c>
      <c r="B1631" s="168">
        <v>424</v>
      </c>
      <c r="C1631" s="167" t="s">
        <v>1533</v>
      </c>
      <c r="D1631" s="168">
        <v>75</v>
      </c>
      <c r="E1631" s="168">
        <v>9</v>
      </c>
    </row>
    <row r="1632" spans="1:5" ht="12.75">
      <c r="A1632" s="167" t="s">
        <v>1570</v>
      </c>
      <c r="B1632" s="168">
        <v>424</v>
      </c>
      <c r="C1632" s="167" t="s">
        <v>1533</v>
      </c>
      <c r="D1632" s="168">
        <v>41</v>
      </c>
      <c r="E1632" s="168" t="s">
        <v>1083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Suchan Kurt</dc:creator>
  <cp:keywords/>
  <dc:description/>
  <cp:lastModifiedBy>Kurt Suchan</cp:lastModifiedBy>
  <cp:lastPrinted>2006-09-02T19:01:35Z</cp:lastPrinted>
  <dcterms:created xsi:type="dcterms:W3CDTF">2001-09-23T08:53:31Z</dcterms:created>
  <dcterms:modified xsi:type="dcterms:W3CDTF">2009-09-25T06:14:44Z</dcterms:modified>
  <cp:category/>
  <cp:version/>
  <cp:contentType/>
  <cp:contentStatus/>
</cp:coreProperties>
</file>